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usdagcc-my.sharepoint.com/personal/katelyn_vaporis_usda_gov/Documents/Desktop/STAC/"/>
    </mc:Choice>
  </mc:AlternateContent>
  <xr:revisionPtr revIDLastSave="2" documentId="8_{8260C313-888B-4933-A7BF-99FFABDDFC16}" xr6:coauthVersionLast="47" xr6:coauthVersionMax="47" xr10:uidLastSave="{FE4A729F-F7C6-4281-99EC-BBA996F4776B}"/>
  <bookViews>
    <workbookView xWindow="-108" yWindow="-108" windowWidth="23256" windowHeight="13896" xr2:uid="{00000000-000D-0000-FFFF-FFFF00000000}"/>
  </bookViews>
  <sheets>
    <sheet name="StateEQIPAllocation" sheetId="4" r:id="rId1"/>
    <sheet name="Local_Allocations" sheetId="3" r:id="rId2"/>
    <sheet name="Comparison" sheetId="6" r:id="rId3"/>
    <sheet name="Sheet1" sheetId="5" r:id="rId4"/>
  </sheets>
  <definedNames>
    <definedName name="_xlnm._FilterDatabase" localSheetId="3" hidden="1">Sheet1!$A$1:$B$1</definedName>
    <definedName name="_xlnm.Print_Area" localSheetId="1">Local_Allocations!$A$1:$B$27</definedName>
    <definedName name="_xlnm.Print_Area" localSheetId="0">StateEQIPAllocation!$A$1:$G$50</definedName>
    <definedName name="_xlnm.Print_Titles" localSheetId="1">Local_Allocations!$A:$A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2" i="6" l="1"/>
  <c r="E12" i="6"/>
  <c r="H10" i="6"/>
  <c r="AF4" i="3" l="1"/>
  <c r="B17" i="4"/>
  <c r="B34" i="4" s="1"/>
  <c r="B15" i="4"/>
  <c r="AF25" i="3"/>
  <c r="AF22" i="3"/>
  <c r="AF20" i="3"/>
  <c r="AF19" i="3"/>
  <c r="AF17" i="3"/>
  <c r="AF14" i="3"/>
  <c r="AF13" i="3"/>
  <c r="AF12" i="3"/>
  <c r="AF11" i="3"/>
  <c r="AF10" i="3"/>
  <c r="AF8" i="3"/>
  <c r="AF6" i="3"/>
  <c r="AC27" i="3" l="1"/>
  <c r="AD4" i="3" s="1"/>
  <c r="AD5" i="3" l="1"/>
  <c r="AD9" i="3"/>
  <c r="AD13" i="3"/>
  <c r="AD17" i="3"/>
  <c r="AD21" i="3"/>
  <c r="AD25" i="3"/>
  <c r="AD10" i="3"/>
  <c r="AD14" i="3"/>
  <c r="AD18" i="3"/>
  <c r="AD22" i="3"/>
  <c r="AD26" i="3"/>
  <c r="AD11" i="3"/>
  <c r="AD15" i="3"/>
  <c r="AD19" i="3"/>
  <c r="AD23" i="3"/>
  <c r="AD8" i="3"/>
  <c r="AD12" i="3"/>
  <c r="AD16" i="3"/>
  <c r="AD20" i="3"/>
  <c r="AD24" i="3"/>
  <c r="AD6" i="3"/>
  <c r="AD7" i="3"/>
  <c r="AF26" i="3"/>
  <c r="AF16" i="3" l="1"/>
  <c r="Y16" i="3"/>
  <c r="Z16" i="3" s="1"/>
  <c r="P16" i="3"/>
  <c r="A1" i="3" l="1"/>
  <c r="Y22" i="3" l="1"/>
  <c r="Z22" i="3" s="1"/>
  <c r="P22" i="3"/>
  <c r="AF21" i="3"/>
  <c r="Y21" i="3"/>
  <c r="Z21" i="3" s="1"/>
  <c r="P21" i="3"/>
  <c r="Y20" i="3"/>
  <c r="Z20" i="3" s="1"/>
  <c r="P20" i="3"/>
  <c r="Y19" i="3"/>
  <c r="Z19" i="3" s="1"/>
  <c r="P19" i="3"/>
  <c r="AF18" i="3"/>
  <c r="Y18" i="3"/>
  <c r="Z18" i="3" s="1"/>
  <c r="P18" i="3"/>
  <c r="Y17" i="3"/>
  <c r="Z17" i="3" s="1"/>
  <c r="P17" i="3"/>
  <c r="AF15" i="3"/>
  <c r="Y15" i="3"/>
  <c r="Z15" i="3" s="1"/>
  <c r="P15" i="3"/>
  <c r="Y14" i="3"/>
  <c r="Z14" i="3" s="1"/>
  <c r="P14" i="3"/>
  <c r="Y13" i="3"/>
  <c r="Z13" i="3" s="1"/>
  <c r="P13" i="3"/>
  <c r="Y12" i="3"/>
  <c r="Z12" i="3" s="1"/>
  <c r="P12" i="3"/>
  <c r="Y11" i="3"/>
  <c r="Z11" i="3" s="1"/>
  <c r="P11" i="3"/>
  <c r="Y10" i="3"/>
  <c r="Z10" i="3" s="1"/>
  <c r="P10" i="3"/>
  <c r="AF9" i="3"/>
  <c r="Y9" i="3"/>
  <c r="Z9" i="3" s="1"/>
  <c r="P9" i="3"/>
  <c r="Y8" i="3"/>
  <c r="Z8" i="3" s="1"/>
  <c r="P8" i="3"/>
  <c r="AF7" i="3"/>
  <c r="Y7" i="3"/>
  <c r="Z7" i="3" s="1"/>
  <c r="Y6" i="3" l="1"/>
  <c r="Z6" i="3" s="1"/>
  <c r="P6" i="3"/>
  <c r="AF5" i="3"/>
  <c r="Y5" i="3"/>
  <c r="Z5" i="3" s="1"/>
  <c r="P5" i="3"/>
  <c r="Y4" i="3" l="1"/>
  <c r="Z4" i="3" s="1"/>
  <c r="P24" i="3"/>
  <c r="Y24" i="3"/>
  <c r="Z24" i="3" s="1"/>
  <c r="AF24" i="3"/>
  <c r="Y26" i="3" l="1"/>
  <c r="Z26" i="3" s="1"/>
  <c r="Y25" i="3"/>
  <c r="Z25" i="3" s="1"/>
  <c r="Y23" i="3"/>
  <c r="Z23" i="3" s="1"/>
  <c r="N27" i="3"/>
  <c r="AH1" i="3"/>
  <c r="O22" i="3" l="1"/>
  <c r="O16" i="3"/>
  <c r="O19" i="3"/>
  <c r="O21" i="3"/>
  <c r="O20" i="3"/>
  <c r="O17" i="3"/>
  <c r="O18" i="3"/>
  <c r="O14" i="3"/>
  <c r="O15" i="3"/>
  <c r="O9" i="3"/>
  <c r="O10" i="3"/>
  <c r="O11" i="3"/>
  <c r="O12" i="3"/>
  <c r="O13" i="3"/>
  <c r="O7" i="3"/>
  <c r="O8" i="3"/>
  <c r="O5" i="3"/>
  <c r="O6" i="3"/>
  <c r="O24" i="3"/>
  <c r="AM27" i="3"/>
  <c r="AL27" i="3"/>
  <c r="AI31" i="3" l="1"/>
  <c r="AI30" i="3"/>
  <c r="AI32" i="3" l="1"/>
  <c r="AF23" i="3"/>
  <c r="C27" i="3"/>
  <c r="D9" i="3" s="1"/>
  <c r="P4" i="3"/>
  <c r="P23" i="3"/>
  <c r="P25" i="3"/>
  <c r="P26" i="3"/>
  <c r="R27" i="3"/>
  <c r="T27" i="3"/>
  <c r="V27" i="3"/>
  <c r="AE27" i="3"/>
  <c r="AI27" i="3"/>
  <c r="E27" i="3"/>
  <c r="F27" i="3"/>
  <c r="J27" i="3"/>
  <c r="I27" i="3"/>
  <c r="H27" i="3"/>
  <c r="G27" i="3"/>
  <c r="M27" i="3"/>
  <c r="W22" i="3" l="1"/>
  <c r="W16" i="3"/>
  <c r="U22" i="3"/>
  <c r="U16" i="3"/>
  <c r="D22" i="3"/>
  <c r="D16" i="3"/>
  <c r="S22" i="3"/>
  <c r="S16" i="3"/>
  <c r="W19" i="3"/>
  <c r="W21" i="3"/>
  <c r="W20" i="3"/>
  <c r="S19" i="3"/>
  <c r="S21" i="3"/>
  <c r="S20" i="3"/>
  <c r="U19" i="3"/>
  <c r="U20" i="3"/>
  <c r="U21" i="3"/>
  <c r="D19" i="3"/>
  <c r="D21" i="3"/>
  <c r="D20" i="3"/>
  <c r="U17" i="3"/>
  <c r="U18" i="3"/>
  <c r="S17" i="3"/>
  <c r="S18" i="3"/>
  <c r="W17" i="3"/>
  <c r="W18" i="3"/>
  <c r="D17" i="3"/>
  <c r="D18" i="3"/>
  <c r="U14" i="3"/>
  <c r="U15" i="3"/>
  <c r="S14" i="3"/>
  <c r="S15" i="3"/>
  <c r="W14" i="3"/>
  <c r="W15" i="3"/>
  <c r="D14" i="3"/>
  <c r="D15" i="3"/>
  <c r="D11" i="3"/>
  <c r="D12" i="3"/>
  <c r="D10" i="3"/>
  <c r="D13" i="3"/>
  <c r="U9" i="3"/>
  <c r="U10" i="3"/>
  <c r="U13" i="3"/>
  <c r="U11" i="3"/>
  <c r="U12" i="3"/>
  <c r="W9" i="3"/>
  <c r="W11" i="3"/>
  <c r="W12" i="3"/>
  <c r="W10" i="3"/>
  <c r="W13" i="3"/>
  <c r="S9" i="3"/>
  <c r="S13" i="3"/>
  <c r="S10" i="3"/>
  <c r="S12" i="3"/>
  <c r="S11" i="3"/>
  <c r="U7" i="3"/>
  <c r="U8" i="3"/>
  <c r="S7" i="3"/>
  <c r="S8" i="3"/>
  <c r="D7" i="3"/>
  <c r="D8" i="3"/>
  <c r="W7" i="3"/>
  <c r="W8" i="3"/>
  <c r="W5" i="3"/>
  <c r="W6" i="3"/>
  <c r="U5" i="3"/>
  <c r="U6" i="3"/>
  <c r="S5" i="3"/>
  <c r="S6" i="3"/>
  <c r="D5" i="3"/>
  <c r="D6" i="3"/>
  <c r="S24" i="3"/>
  <c r="W24" i="3"/>
  <c r="D24" i="3"/>
  <c r="U24" i="3"/>
  <c r="D25" i="3"/>
  <c r="S26" i="3"/>
  <c r="U4" i="3"/>
  <c r="D26" i="3"/>
  <c r="W4" i="3"/>
  <c r="S4" i="3"/>
  <c r="S25" i="3"/>
  <c r="W25" i="3"/>
  <c r="D23" i="3"/>
  <c r="Z27" i="3"/>
  <c r="AA11" i="3" s="1"/>
  <c r="W23" i="3"/>
  <c r="W26" i="3"/>
  <c r="D4" i="3"/>
  <c r="O25" i="3"/>
  <c r="S23" i="3"/>
  <c r="O26" i="3"/>
  <c r="O23" i="3"/>
  <c r="O4" i="3"/>
  <c r="U26" i="3"/>
  <c r="U23" i="3"/>
  <c r="U25" i="3"/>
  <c r="P27" i="3"/>
  <c r="K27" i="3"/>
  <c r="Q22" i="3" l="1"/>
  <c r="Q16" i="3"/>
  <c r="AA22" i="3"/>
  <c r="AB22" i="3" s="1"/>
  <c r="AA16" i="3"/>
  <c r="AB16" i="3" s="1"/>
  <c r="L22" i="3"/>
  <c r="L16" i="3"/>
  <c r="AA19" i="3"/>
  <c r="AB19" i="3" s="1"/>
  <c r="AA20" i="3"/>
  <c r="AB20" i="3" s="1"/>
  <c r="AA21" i="3"/>
  <c r="AB21" i="3" s="1"/>
  <c r="Q19" i="3"/>
  <c r="Q21" i="3"/>
  <c r="Q20" i="3"/>
  <c r="L19" i="3"/>
  <c r="L20" i="3"/>
  <c r="L21" i="3"/>
  <c r="AA17" i="3"/>
  <c r="AB17" i="3" s="1"/>
  <c r="AA18" i="3"/>
  <c r="AB18" i="3" s="1"/>
  <c r="Q17" i="3"/>
  <c r="Q18" i="3"/>
  <c r="L17" i="3"/>
  <c r="L18" i="3"/>
  <c r="Q14" i="3"/>
  <c r="Q15" i="3"/>
  <c r="L14" i="3"/>
  <c r="L15" i="3"/>
  <c r="AA14" i="3"/>
  <c r="AB14" i="3" s="1"/>
  <c r="AA15" i="3"/>
  <c r="AB15" i="3" s="1"/>
  <c r="AA10" i="3"/>
  <c r="AB10" i="3" s="1"/>
  <c r="AB11" i="3"/>
  <c r="AA12" i="3"/>
  <c r="AB12" i="3" s="1"/>
  <c r="AA13" i="3"/>
  <c r="AB13" i="3" s="1"/>
  <c r="Q9" i="3"/>
  <c r="Q10" i="3"/>
  <c r="Q11" i="3"/>
  <c r="Q12" i="3"/>
  <c r="Q13" i="3"/>
  <c r="L9" i="3"/>
  <c r="L11" i="3"/>
  <c r="L12" i="3"/>
  <c r="L10" i="3"/>
  <c r="L13" i="3"/>
  <c r="AA8" i="3"/>
  <c r="AB8" i="3" s="1"/>
  <c r="AA9" i="3"/>
  <c r="AB9" i="3" s="1"/>
  <c r="L7" i="3"/>
  <c r="L8" i="3"/>
  <c r="Q7" i="3"/>
  <c r="Q8" i="3"/>
  <c r="AA6" i="3"/>
  <c r="AB6" i="3" s="1"/>
  <c r="AA7" i="3"/>
  <c r="AB7" i="3" s="1"/>
  <c r="L5" i="3"/>
  <c r="L6" i="3"/>
  <c r="Q5" i="3"/>
  <c r="Q6" i="3"/>
  <c r="AA5" i="3"/>
  <c r="AB5" i="3" s="1"/>
  <c r="Q24" i="3"/>
  <c r="L24" i="3"/>
  <c r="AA24" i="3"/>
  <c r="AB24" i="3" s="1"/>
  <c r="AA4" i="3"/>
  <c r="AB4" i="3" s="1"/>
  <c r="D27" i="3"/>
  <c r="W27" i="3"/>
  <c r="S27" i="3"/>
  <c r="U27" i="3"/>
  <c r="AA25" i="3"/>
  <c r="AB25" i="3" s="1"/>
  <c r="AA26" i="3"/>
  <c r="AB26" i="3" s="1"/>
  <c r="AA23" i="3"/>
  <c r="AB23" i="3" s="1"/>
  <c r="Q4" i="3"/>
  <c r="L26" i="3"/>
  <c r="O27" i="3"/>
  <c r="L25" i="3"/>
  <c r="L23" i="3"/>
  <c r="L4" i="3"/>
  <c r="Q26" i="3"/>
  <c r="Q23" i="3"/>
  <c r="Q25" i="3"/>
  <c r="AA27" i="3" l="1"/>
  <c r="L27" i="3"/>
  <c r="Q27" i="3"/>
  <c r="AD27" i="3" l="1"/>
  <c r="AH30" i="3" l="1"/>
  <c r="AB27" i="3" l="1"/>
  <c r="AH31" i="3" l="1"/>
  <c r="AH32" i="3" s="1"/>
  <c r="AJ30" i="3" s="1"/>
  <c r="AJ31" i="3" l="1"/>
  <c r="AF27" i="3"/>
  <c r="AG10" i="3" s="1"/>
  <c r="AH10" i="3" s="1"/>
  <c r="AG14" i="3" l="1"/>
  <c r="AH14" i="3" s="1"/>
  <c r="B14" i="3" s="1"/>
  <c r="AG25" i="3"/>
  <c r="AH25" i="3" s="1"/>
  <c r="B25" i="3" s="1"/>
  <c r="AG22" i="3"/>
  <c r="AH22" i="3" s="1"/>
  <c r="AN22" i="3" s="1"/>
  <c r="AG17" i="3"/>
  <c r="AH17" i="3" s="1"/>
  <c r="AR17" i="3" s="1"/>
  <c r="AG12" i="3"/>
  <c r="AH12" i="3" s="1"/>
  <c r="AJ12" i="3" s="1"/>
  <c r="AG13" i="3"/>
  <c r="AH13" i="3" s="1"/>
  <c r="B13" i="3" s="1"/>
  <c r="AG16" i="3"/>
  <c r="AH16" i="3" s="1"/>
  <c r="AJ16" i="3" s="1"/>
  <c r="AN10" i="3"/>
  <c r="AR10" i="3"/>
  <c r="B10" i="3"/>
  <c r="AJ10" i="3"/>
  <c r="AG4" i="3"/>
  <c r="AG18" i="3"/>
  <c r="AH18" i="3" s="1"/>
  <c r="AG20" i="3"/>
  <c r="AH20" i="3" s="1"/>
  <c r="AG5" i="3"/>
  <c r="AH5" i="3" s="1"/>
  <c r="AG23" i="3"/>
  <c r="AH23" i="3" s="1"/>
  <c r="AG24" i="3"/>
  <c r="AH24" i="3" s="1"/>
  <c r="AG7" i="3"/>
  <c r="AH7" i="3" s="1"/>
  <c r="AG6" i="3"/>
  <c r="AH6" i="3" s="1"/>
  <c r="AG9" i="3"/>
  <c r="AH9" i="3" s="1"/>
  <c r="AG15" i="3"/>
  <c r="AH15" i="3" s="1"/>
  <c r="AG21" i="3"/>
  <c r="AH21" i="3" s="1"/>
  <c r="AG19" i="3"/>
  <c r="AH19" i="3" s="1"/>
  <c r="AG8" i="3"/>
  <c r="AH8" i="3" s="1"/>
  <c r="AG26" i="3"/>
  <c r="AH26" i="3" s="1"/>
  <c r="AG11" i="3"/>
  <c r="AH11" i="3" s="1"/>
  <c r="AR25" i="3" l="1"/>
  <c r="AJ25" i="3"/>
  <c r="AN25" i="3"/>
  <c r="AO25" i="3" s="1"/>
  <c r="AN13" i="3"/>
  <c r="AP13" i="3" s="1"/>
  <c r="AJ14" i="3"/>
  <c r="AR14" i="3"/>
  <c r="AN14" i="3"/>
  <c r="AO14" i="3" s="1"/>
  <c r="AN12" i="3"/>
  <c r="AO12" i="3" s="1"/>
  <c r="B12" i="3"/>
  <c r="AJ13" i="3"/>
  <c r="B17" i="3"/>
  <c r="AJ17" i="3"/>
  <c r="AR13" i="3"/>
  <c r="AN17" i="3"/>
  <c r="AO17" i="3" s="1"/>
  <c r="AR16" i="3"/>
  <c r="B22" i="3"/>
  <c r="AR22" i="3"/>
  <c r="AJ22" i="3"/>
  <c r="AR12" i="3"/>
  <c r="B16" i="3"/>
  <c r="AN16" i="3"/>
  <c r="AJ6" i="3"/>
  <c r="AR6" i="3"/>
  <c r="AN6" i="3"/>
  <c r="B6" i="3"/>
  <c r="AO10" i="3"/>
  <c r="AP10" i="3"/>
  <c r="AJ11" i="3"/>
  <c r="AN11" i="3"/>
  <c r="AR11" i="3"/>
  <c r="B11" i="3"/>
  <c r="AP22" i="3"/>
  <c r="AO22" i="3"/>
  <c r="AG27" i="3"/>
  <c r="AH4" i="3"/>
  <c r="B4" i="3" s="1"/>
  <c r="AR18" i="3"/>
  <c r="B18" i="3"/>
  <c r="AN18" i="3"/>
  <c r="AJ18" i="3"/>
  <c r="B19" i="3"/>
  <c r="AR19" i="3"/>
  <c r="AJ19" i="3"/>
  <c r="AN19" i="3"/>
  <c r="AJ9" i="3"/>
  <c r="AN9" i="3"/>
  <c r="B9" i="3"/>
  <c r="AR9" i="3"/>
  <c r="AJ24" i="3"/>
  <c r="AR24" i="3"/>
  <c r="B24" i="3"/>
  <c r="AN24" i="3"/>
  <c r="B8" i="3"/>
  <c r="AJ8" i="3"/>
  <c r="AR8" i="3"/>
  <c r="AN8" i="3"/>
  <c r="AR5" i="3"/>
  <c r="B5" i="3"/>
  <c r="AJ5" i="3"/>
  <c r="AN5" i="3"/>
  <c r="AN15" i="3"/>
  <c r="B15" i="3"/>
  <c r="AR15" i="3"/>
  <c r="AJ15" i="3"/>
  <c r="AR7" i="3"/>
  <c r="AJ7" i="3"/>
  <c r="AN7" i="3"/>
  <c r="B7" i="3"/>
  <c r="B26" i="3"/>
  <c r="AJ26" i="3"/>
  <c r="AN26" i="3"/>
  <c r="AR26" i="3"/>
  <c r="B23" i="3"/>
  <c r="AJ23" i="3"/>
  <c r="AN23" i="3"/>
  <c r="AR23" i="3"/>
  <c r="B21" i="3"/>
  <c r="AR21" i="3"/>
  <c r="AJ21" i="3"/>
  <c r="AN21" i="3"/>
  <c r="AN20" i="3"/>
  <c r="AR20" i="3"/>
  <c r="AJ20" i="3"/>
  <c r="B20" i="3"/>
  <c r="AO13" i="3" l="1"/>
  <c r="AP14" i="3"/>
  <c r="AP25" i="3"/>
  <c r="AP12" i="3"/>
  <c r="AP17" i="3"/>
  <c r="AO16" i="3"/>
  <c r="AP16" i="3"/>
  <c r="AO26" i="3"/>
  <c r="AP26" i="3"/>
  <c r="AO18" i="3"/>
  <c r="AP18" i="3"/>
  <c r="AO20" i="3"/>
  <c r="AP20" i="3"/>
  <c r="AO8" i="3"/>
  <c r="AP8" i="3"/>
  <c r="AP23" i="3"/>
  <c r="AO23" i="3"/>
  <c r="AP11" i="3"/>
  <c r="AO11" i="3"/>
  <c r="AJ4" i="3"/>
  <c r="AJ27" i="3" s="1"/>
  <c r="AH27" i="3"/>
  <c r="AN27" i="3" s="1"/>
  <c r="AP27" i="3" s="1"/>
  <c r="AN4" i="3"/>
  <c r="AR4" i="3"/>
  <c r="AO7" i="3"/>
  <c r="AP7" i="3"/>
  <c r="AO15" i="3"/>
  <c r="AP15" i="3"/>
  <c r="AP9" i="3"/>
  <c r="AO9" i="3"/>
  <c r="AP21" i="3"/>
  <c r="AO21" i="3"/>
  <c r="AP6" i="3"/>
  <c r="AO6" i="3"/>
  <c r="AP24" i="3"/>
  <c r="AO24" i="3"/>
  <c r="AO5" i="3"/>
  <c r="AP5" i="3"/>
  <c r="AO19" i="3"/>
  <c r="AP19" i="3"/>
  <c r="B27" i="3" l="1"/>
  <c r="AO4" i="3"/>
  <c r="AO27" i="3" s="1"/>
  <c r="AP4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cheryl.grapes</author>
    <author>theresa.bowen</author>
    <author>chris.rhyne</author>
    <author>Erickson, Lee - NRCS, Casper WY</author>
  </authors>
  <commentList>
    <comment ref="B3" authorId="0" shapeId="0" xr:uid="{00000000-0006-0000-0100-000001000000}">
      <text>
        <r>
          <rPr>
            <sz val="9"/>
            <color indexed="81"/>
            <rFont val="Calibri"/>
            <family val="2"/>
            <scheme val="minor"/>
          </rPr>
          <t>Demographic plus
Resource plus
Management Factors</t>
        </r>
      </text>
    </comment>
    <comment ref="C3" authorId="0" shapeId="0" xr:uid="{00000000-0006-0000-0100-000002000000}">
      <text>
        <r>
          <rPr>
            <sz val="9"/>
            <color indexed="81"/>
            <rFont val="Calibri"/>
            <family val="2"/>
            <scheme val="minor"/>
          </rPr>
          <t>2017 Ag Census</t>
        </r>
      </text>
    </comment>
    <comment ref="K3" authorId="0" shapeId="0" xr:uid="{00000000-0006-0000-0100-000003000000}">
      <text>
        <r>
          <rPr>
            <sz val="9"/>
            <color indexed="81"/>
            <rFont val="Calibri"/>
            <family val="2"/>
            <scheme val="minor"/>
          </rPr>
          <t>2017 Ag Census</t>
        </r>
      </text>
    </comment>
    <comment ref="N3" authorId="1" shapeId="0" xr:uid="{00000000-0006-0000-0100-000004000000}">
      <text>
        <r>
          <rPr>
            <sz val="9"/>
            <color indexed="81"/>
            <rFont val="Calibri"/>
            <family val="2"/>
            <scheme val="minor"/>
          </rPr>
          <t>2017  Ag Census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R3" authorId="2" shapeId="0" xr:uid="{00000000-0006-0000-0100-000005000000}">
      <text>
        <r>
          <rPr>
            <sz val="9"/>
            <color indexed="81"/>
            <rFont val="Calibri"/>
            <family val="2"/>
            <scheme val="minor"/>
          </rPr>
          <t>2007 Ag Census</t>
        </r>
      </text>
    </comment>
    <comment ref="T3" authorId="0" shapeId="0" xr:uid="{00000000-0006-0000-0100-000006000000}">
      <text>
        <r>
          <rPr>
            <sz val="9"/>
            <color indexed="81"/>
            <rFont val="Calibri"/>
            <family val="2"/>
            <scheme val="minor"/>
          </rPr>
          <t>GIS land cover layer.</t>
        </r>
      </text>
    </comment>
    <comment ref="V3" authorId="0" shapeId="0" xr:uid="{00000000-0006-0000-0100-000007000000}">
      <text>
        <r>
          <rPr>
            <sz val="9"/>
            <color indexed="81"/>
            <rFont val="Calibri"/>
            <family val="2"/>
            <scheme val="minor"/>
          </rPr>
          <t>Number of state at-risk species identified in a county.</t>
        </r>
      </text>
    </comment>
    <comment ref="X3" authorId="3" shapeId="0" xr:uid="{C5895515-E14C-4794-9597-5862B5018F46}">
      <text>
        <r>
          <rPr>
            <b/>
            <sz val="9"/>
            <color indexed="81"/>
            <rFont val="Tahoma"/>
            <charset val="1"/>
          </rPr>
          <t>Erickson, Lee - NRCS, Casper WY:</t>
        </r>
        <r>
          <rPr>
            <sz val="9"/>
            <color indexed="81"/>
            <rFont val="Tahoma"/>
            <charset val="1"/>
          </rPr>
          <t xml:space="preserve">
Update with the 3 FY average. Example FY23 looks at FY18-20.</t>
        </r>
      </text>
    </comment>
    <comment ref="AH3" authorId="0" shapeId="0" xr:uid="{00000000-0006-0000-0100-000008000000}">
      <text>
        <r>
          <rPr>
            <sz val="9"/>
            <color indexed="81"/>
            <rFont val="Calibri"/>
            <family val="2"/>
            <scheme val="minor"/>
          </rPr>
          <t>Demographic plus
Resource plus
Management Factors</t>
        </r>
      </text>
    </comment>
    <comment ref="C7" authorId="0" shapeId="0" xr:uid="{00000000-0006-0000-0100-000009000000}">
      <text>
        <r>
          <rPr>
            <sz val="9"/>
            <color indexed="81"/>
            <rFont val="Calibri"/>
            <family val="2"/>
          </rPr>
          <t>This number has been reduced by 250 which is the approximate number of farms on the Wind River Reservation and will be served under a separate subaccount.</t>
        </r>
      </text>
    </comment>
    <comment ref="N7" authorId="0" shapeId="0" xr:uid="{00000000-0006-0000-0100-00000A000000}">
      <text>
        <r>
          <rPr>
            <sz val="9"/>
            <color indexed="81"/>
            <rFont val="Calibri"/>
            <family val="2"/>
            <scheme val="minor"/>
          </rPr>
          <t>Wind R. Reservation acres (9,000) are not included in the county allocation formula because of a separate subaccount.</t>
        </r>
      </text>
    </comment>
  </commentList>
</comments>
</file>

<file path=xl/sharedStrings.xml><?xml version="1.0" encoding="utf-8"?>
<sst xmlns="http://schemas.openxmlformats.org/spreadsheetml/2006/main" count="188" uniqueCount="141">
  <si>
    <t>Additional</t>
  </si>
  <si>
    <t>$ allocated</t>
  </si>
  <si>
    <t>Number</t>
  </si>
  <si>
    <t>Pmt %</t>
  </si>
  <si>
    <t>no.</t>
  </si>
  <si>
    <t>Number of Farms</t>
  </si>
  <si>
    <t>Asian/PI</t>
  </si>
  <si>
    <t>Private Acres</t>
  </si>
  <si>
    <t>Public Acres</t>
  </si>
  <si>
    <t>Irrigated Acres</t>
  </si>
  <si>
    <t>Allocation</t>
  </si>
  <si>
    <t>acres</t>
  </si>
  <si>
    <t xml:space="preserve">Total </t>
  </si>
  <si>
    <t>% oblig</t>
  </si>
  <si>
    <t>$ oblig</t>
  </si>
  <si>
    <t>TOTAL</t>
  </si>
  <si>
    <t>County</t>
  </si>
  <si>
    <t>LRP</t>
  </si>
  <si>
    <t>hisp</t>
  </si>
  <si>
    <t>indian</t>
  </si>
  <si>
    <t>asian</t>
  </si>
  <si>
    <t>black</t>
  </si>
  <si>
    <t>weight</t>
  </si>
  <si>
    <t>for comparison
$ oblig</t>
  </si>
  <si>
    <t>Acres</t>
  </si>
  <si>
    <t>Albany</t>
  </si>
  <si>
    <t>Big Horn</t>
  </si>
  <si>
    <t>Campbell</t>
  </si>
  <si>
    <t>Carbon</t>
  </si>
  <si>
    <t>Converse</t>
  </si>
  <si>
    <t>Crook</t>
  </si>
  <si>
    <t>Fremont</t>
  </si>
  <si>
    <t>Goshen</t>
  </si>
  <si>
    <t>Hot Springs</t>
  </si>
  <si>
    <t>Johnson</t>
  </si>
  <si>
    <t>Laramie</t>
  </si>
  <si>
    <t>Lincoln</t>
  </si>
  <si>
    <t>Natrona</t>
  </si>
  <si>
    <t>Niobrara</t>
  </si>
  <si>
    <t>Park</t>
  </si>
  <si>
    <t>Platte</t>
  </si>
  <si>
    <t>Sheridan</t>
  </si>
  <si>
    <t>Sublette</t>
  </si>
  <si>
    <t>Sweetwater</t>
  </si>
  <si>
    <t>Teton</t>
  </si>
  <si>
    <t>Uinta</t>
  </si>
  <si>
    <t>Washakie</t>
  </si>
  <si>
    <t>Weston</t>
  </si>
  <si>
    <t>Riparian/
wetlands</t>
  </si>
  <si>
    <t>At Risk 
Species</t>
  </si>
  <si>
    <t>in 2010</t>
  </si>
  <si>
    <t>East</t>
  </si>
  <si>
    <t>West</t>
  </si>
  <si>
    <t>Total</t>
  </si>
  <si>
    <t>Percent 2011</t>
  </si>
  <si>
    <t xml:space="preserve">Difference 
from 2010 dollars obligated </t>
  </si>
  <si>
    <t>Total 2011 EQIP</t>
  </si>
  <si>
    <t>Sage Grouse</t>
  </si>
  <si>
    <t>Organic</t>
  </si>
  <si>
    <t>Difference 2010 Initial</t>
  </si>
  <si>
    <t>Difference 2010 Final</t>
  </si>
  <si>
    <t>----</t>
  </si>
  <si>
    <r>
      <t xml:space="preserve">Change from
State Average </t>
    </r>
    <r>
      <rPr>
        <sz val="8"/>
        <rFont val="Arial"/>
        <family val="2"/>
      </rPr>
      <t>(excluding negatives)</t>
    </r>
  </si>
  <si>
    <t>Change from
State Average</t>
  </si>
  <si>
    <t>WY Reserve (current year mods)</t>
  </si>
  <si>
    <t>Additional $$ for Positive</t>
  </si>
  <si>
    <t>Wind River Reservation (5%)</t>
  </si>
  <si>
    <t>WY BFR (5%)</t>
  </si>
  <si>
    <t>WY SD (5%)</t>
  </si>
  <si>
    <t>"Impl.
Rate"
Payment 
Percent Average</t>
  </si>
  <si>
    <t>All HU Producers</t>
  </si>
  <si>
    <t>WY EQIP CIC (5%)</t>
  </si>
  <si>
    <t>Potential Disaster</t>
  </si>
  <si>
    <t>Source Water Protection (10%)</t>
  </si>
  <si>
    <t>State Subaccounts:</t>
  </si>
  <si>
    <t>General EQIP FA</t>
  </si>
  <si>
    <t>IRA EQIP</t>
  </si>
  <si>
    <t>EQIP State Initiatives</t>
  </si>
  <si>
    <r>
      <rPr>
        <b/>
        <sz val="10"/>
        <color rgb="FFFF0000"/>
        <rFont val="Arial"/>
        <family val="2"/>
      </rPr>
      <t>ESTIMATED</t>
    </r>
    <r>
      <rPr>
        <b/>
        <sz val="10"/>
        <rFont val="Arial"/>
        <family val="2"/>
      </rPr>
      <t xml:space="preserve"> 2025
County</t>
    </r>
  </si>
  <si>
    <t>Initial 2024</t>
  </si>
  <si>
    <t>in 2024</t>
  </si>
  <si>
    <t>2020-2022%</t>
  </si>
  <si>
    <r>
      <t xml:space="preserve">Increase/
</t>
    </r>
    <r>
      <rPr>
        <sz val="10"/>
        <color rgb="FFFF0000"/>
        <rFont val="Arial"/>
        <family val="2"/>
      </rPr>
      <t>(Decrease)</t>
    </r>
    <r>
      <rPr>
        <sz val="10"/>
        <rFont val="Arial"/>
        <family val="2"/>
      </rPr>
      <t xml:space="preserve"> from FY2024</t>
    </r>
  </si>
  <si>
    <t>Total EQIP</t>
  </si>
  <si>
    <t xml:space="preserve">Water Management Entity </t>
  </si>
  <si>
    <t xml:space="preserve">     Joint Chief's Landscape Restoration Inititative </t>
  </si>
  <si>
    <t xml:space="preserve">     Statewide IRA</t>
  </si>
  <si>
    <t>Subject to Change with receipt of applications and/or additional funds</t>
  </si>
  <si>
    <t>WY Wetland and Fish Habitat (5%)</t>
  </si>
  <si>
    <t xml:space="preserve">     Migratory Big Game</t>
  </si>
  <si>
    <t xml:space="preserve">     Sage Grouse Initiative</t>
  </si>
  <si>
    <t xml:space="preserve">     National Water Quality Initiative</t>
  </si>
  <si>
    <t xml:space="preserve">     WaterSmart Initiative</t>
  </si>
  <si>
    <t xml:space="preserve">     Colorado River Salinity</t>
  </si>
  <si>
    <t xml:space="preserve">   Local Allocation</t>
  </si>
  <si>
    <t xml:space="preserve">     ACT Now: Noxious and Invasive Weed Control</t>
  </si>
  <si>
    <t xml:space="preserve">     ACT Now: Forestry</t>
  </si>
  <si>
    <t xml:space="preserve">     ACT Now: Fire Recovery</t>
  </si>
  <si>
    <t xml:space="preserve">     ACT Now: Soil Health &amp; Nutrient Management</t>
  </si>
  <si>
    <t xml:space="preserve">   Potential Equitable Relief requests</t>
  </si>
  <si>
    <r>
      <rPr>
        <b/>
        <u/>
        <sz val="16"/>
        <color theme="0"/>
        <rFont val="Lato"/>
        <family val="2"/>
      </rPr>
      <t>ESTIMATED</t>
    </r>
    <r>
      <rPr>
        <b/>
        <sz val="16"/>
        <color rgb="FFFF0000"/>
        <rFont val="Lato"/>
        <family val="2"/>
      </rPr>
      <t xml:space="preserve">
</t>
    </r>
    <r>
      <rPr>
        <sz val="16"/>
        <color theme="0"/>
        <rFont val="Lato"/>
        <family val="2"/>
      </rPr>
      <t>2025 County</t>
    </r>
  </si>
  <si>
    <t xml:space="preserve">    ACT Now: CPA, DIA, CEMA</t>
  </si>
  <si>
    <t xml:space="preserve">ACT Now: High Tunnel System </t>
  </si>
  <si>
    <t>​</t>
  </si>
  <si>
    <r>
      <t>EQIP Total Allocation</t>
    </r>
    <r>
      <rPr>
        <sz val="13"/>
        <color rgb="FF545859"/>
        <rFont val="Lato"/>
        <family val="2"/>
      </rPr>
      <t>​</t>
    </r>
  </si>
  <si>
    <r>
      <t>AMA</t>
    </r>
    <r>
      <rPr>
        <sz val="13"/>
        <color rgb="FF545859"/>
        <rFont val="Lato"/>
        <family val="2"/>
      </rPr>
      <t>​</t>
    </r>
  </si>
  <si>
    <r>
      <t>CSP IRA</t>
    </r>
    <r>
      <rPr>
        <sz val="13"/>
        <color rgb="FF545859"/>
        <rFont val="Lato"/>
        <family val="2"/>
      </rPr>
      <t>​</t>
    </r>
  </si>
  <si>
    <r>
      <t>ACEP-ALE</t>
    </r>
    <r>
      <rPr>
        <sz val="13"/>
        <color rgb="FF545859"/>
        <rFont val="Lato"/>
        <family val="2"/>
      </rPr>
      <t>​</t>
    </r>
  </si>
  <si>
    <r>
      <t xml:space="preserve">   State Pools</t>
    </r>
    <r>
      <rPr>
        <sz val="13"/>
        <color rgb="FF545859"/>
        <rFont val="Lato"/>
        <family val="2"/>
      </rPr>
      <t>​</t>
    </r>
  </si>
  <si>
    <r>
      <t xml:space="preserve">   Local Pools </t>
    </r>
    <r>
      <rPr>
        <sz val="13"/>
        <color rgb="FF545859"/>
        <rFont val="Lato"/>
        <family val="2"/>
      </rPr>
      <t>​</t>
    </r>
  </si>
  <si>
    <r>
      <t xml:space="preserve">   Initiatives</t>
    </r>
    <r>
      <rPr>
        <sz val="13"/>
        <color rgb="FF545859"/>
        <rFont val="Lato"/>
        <family val="2"/>
      </rPr>
      <t>​</t>
    </r>
  </si>
  <si>
    <r>
      <t xml:space="preserve">   IRA</t>
    </r>
    <r>
      <rPr>
        <sz val="13"/>
        <color rgb="FF545859"/>
        <rFont val="Lato"/>
        <family val="2"/>
      </rPr>
      <t>​</t>
    </r>
  </si>
  <si>
    <t>ACEP-ALE (IRA)</t>
  </si>
  <si>
    <r>
      <t>CSP Classic</t>
    </r>
    <r>
      <rPr>
        <sz val="13"/>
        <color rgb="FF545859"/>
        <rFont val="Lato"/>
        <family val="2"/>
      </rPr>
      <t>​</t>
    </r>
    <r>
      <rPr>
        <b/>
        <u/>
        <sz val="13"/>
        <color rgb="FF000000"/>
        <rFont val="Lato"/>
        <family val="2"/>
      </rPr>
      <t xml:space="preserve"> &amp; Renewals</t>
    </r>
  </si>
  <si>
    <t>-</t>
  </si>
  <si>
    <t>$55,162,775​</t>
  </si>
  <si>
    <r>
      <t>$25,980,899 </t>
    </r>
    <r>
      <rPr>
        <sz val="14"/>
        <color rgb="FF545859"/>
        <rFont val="Lato"/>
        <family val="2"/>
      </rPr>
      <t>​</t>
    </r>
  </si>
  <si>
    <r>
      <t>$35,572,127</t>
    </r>
    <r>
      <rPr>
        <sz val="14"/>
        <color rgb="FF545859"/>
        <rFont val="Lato"/>
        <family val="2"/>
      </rPr>
      <t>​</t>
    </r>
  </si>
  <si>
    <r>
      <t>$5,940,638 </t>
    </r>
    <r>
      <rPr>
        <sz val="14"/>
        <color rgb="FF545859"/>
        <rFont val="Lato"/>
        <family val="2"/>
      </rPr>
      <t>​</t>
    </r>
  </si>
  <si>
    <r>
      <t>$8,833,695</t>
    </r>
    <r>
      <rPr>
        <sz val="14"/>
        <color rgb="FF545859"/>
        <rFont val="Lato"/>
        <family val="2"/>
      </rPr>
      <t>​</t>
    </r>
  </si>
  <si>
    <r>
      <t>$7,487,156 </t>
    </r>
    <r>
      <rPr>
        <sz val="14"/>
        <color rgb="FF545859"/>
        <rFont val="Lato"/>
        <family val="2"/>
      </rPr>
      <t>​</t>
    </r>
  </si>
  <si>
    <r>
      <t>$10,395,780 </t>
    </r>
    <r>
      <rPr>
        <sz val="14"/>
        <color rgb="FF545859"/>
        <rFont val="Lato"/>
        <family val="2"/>
      </rPr>
      <t>​</t>
    </r>
  </si>
  <si>
    <r>
      <t>$8,673,732</t>
    </r>
    <r>
      <rPr>
        <sz val="14"/>
        <color rgb="FF545859"/>
        <rFont val="Lato"/>
        <family val="2"/>
      </rPr>
      <t>​</t>
    </r>
  </si>
  <si>
    <r>
      <t>$2,157,325 </t>
    </r>
    <r>
      <rPr>
        <sz val="14"/>
        <color rgb="FF545859"/>
        <rFont val="Lato"/>
        <family val="2"/>
      </rPr>
      <t>​</t>
    </r>
  </si>
  <si>
    <r>
      <t>$18,064,700</t>
    </r>
    <r>
      <rPr>
        <sz val="14"/>
        <color rgb="FF545859"/>
        <rFont val="Lato"/>
        <family val="2"/>
      </rPr>
      <t>​</t>
    </r>
  </si>
  <si>
    <r>
      <t>$217,177 </t>
    </r>
    <r>
      <rPr>
        <sz val="14"/>
        <color rgb="FF545859"/>
        <rFont val="Lato"/>
        <family val="2"/>
      </rPr>
      <t>​</t>
    </r>
  </si>
  <si>
    <r>
      <t>$92,000</t>
    </r>
    <r>
      <rPr>
        <sz val="14"/>
        <color rgb="FF545859"/>
        <rFont val="Lato"/>
        <family val="2"/>
      </rPr>
      <t>​</t>
    </r>
  </si>
  <si>
    <r>
      <t>$3,619,494 </t>
    </r>
    <r>
      <rPr>
        <sz val="14"/>
        <color rgb="FF545859"/>
        <rFont val="Lato"/>
        <family val="2"/>
      </rPr>
      <t>​</t>
    </r>
  </si>
  <si>
    <r>
      <t>$4,730,000</t>
    </r>
    <r>
      <rPr>
        <sz val="14"/>
        <color rgb="FF545859"/>
        <rFont val="Lato"/>
        <family val="2"/>
      </rPr>
      <t>​</t>
    </r>
  </si>
  <si>
    <r>
      <t>$1,493,586 </t>
    </r>
    <r>
      <rPr>
        <sz val="14"/>
        <color rgb="FF545859"/>
        <rFont val="Lato"/>
        <family val="2"/>
      </rPr>
      <t>​</t>
    </r>
  </si>
  <si>
    <r>
      <t>$5,592,000</t>
    </r>
    <r>
      <rPr>
        <sz val="14"/>
        <color rgb="FF545859"/>
        <rFont val="Lato"/>
        <family val="2"/>
      </rPr>
      <t>​</t>
    </r>
  </si>
  <si>
    <r>
      <t>$13,032,682 </t>
    </r>
    <r>
      <rPr>
        <sz val="14"/>
        <color rgb="FF545859"/>
        <rFont val="Lato"/>
        <family val="2"/>
      </rPr>
      <t>​</t>
    </r>
  </si>
  <si>
    <r>
      <t>$9,659,600 </t>
    </r>
    <r>
      <rPr>
        <sz val="14"/>
        <color rgb="FF545859"/>
        <rFont val="Lato"/>
        <family val="2"/>
      </rPr>
      <t>​</t>
    </r>
  </si>
  <si>
    <r>
      <t>FY 23 Final Allocation</t>
    </r>
    <r>
      <rPr>
        <sz val="16"/>
        <color theme="0"/>
        <rFont val="Lato"/>
        <family val="2"/>
      </rPr>
      <t>​</t>
    </r>
  </si>
  <si>
    <r>
      <t>FY 24 Final Allocation</t>
    </r>
    <r>
      <rPr>
        <sz val="16"/>
        <color theme="0"/>
        <rFont val="Lato"/>
        <family val="2"/>
      </rPr>
      <t>​</t>
    </r>
  </si>
  <si>
    <r>
      <t>Total</t>
    </r>
    <r>
      <rPr>
        <sz val="16"/>
        <color theme="0"/>
        <rFont val="Lato"/>
        <family val="2"/>
      </rPr>
      <t>​</t>
    </r>
  </si>
  <si>
    <r>
      <t>$45,898,392 </t>
    </r>
    <r>
      <rPr>
        <sz val="16"/>
        <color theme="0"/>
        <rFont val="Lato"/>
        <family val="2"/>
      </rPr>
      <t>​</t>
    </r>
  </si>
  <si>
    <r>
      <t>$58,981,645 </t>
    </r>
    <r>
      <rPr>
        <sz val="16"/>
        <color theme="0"/>
        <rFont val="Lato"/>
        <family val="2"/>
      </rPr>
      <t>​</t>
    </r>
  </si>
  <si>
    <t>FY 24
Initial Allocations</t>
  </si>
  <si>
    <t>FY 23
Initial Allocation</t>
  </si>
  <si>
    <r>
      <t>FY 25
Initial Allocation</t>
    </r>
    <r>
      <rPr>
        <sz val="16"/>
        <color theme="0"/>
        <rFont val="Lato"/>
        <family val="2"/>
      </rPr>
      <t>​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</si>
</sst>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5" formatCode="&quot;$&quot;#,##0_);\(&quot;$&quot;#,##0\)"/>
    <numFmt numFmtId="6" formatCode="&quot;$&quot;#,##0_);[Red]\(&quot;$&quot;#,##0\)"/>
    <numFmt numFmtId="8" formatCode="&quot;$&quot;#,##0.00_);[Red]\(&quot;$&quot;#,##0.0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0.0000"/>
    <numFmt numFmtId="166" formatCode="_(&quot;$&quot;* #,##0_);_(&quot;$&quot;* \(#,##0\);_(&quot;$&quot;* &quot;-&quot;??_);_(@_)"/>
    <numFmt numFmtId="167" formatCode="_(* #,##0_);_(* \(#,##0\);_(* &quot;-&quot;??_);_(@_)"/>
    <numFmt numFmtId="168" formatCode="0.0%"/>
    <numFmt numFmtId="169" formatCode="0.000%"/>
    <numFmt numFmtId="172" formatCode="&quot;$&quot;#,##0.00"/>
  </numFmts>
  <fonts count="41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8"/>
      <color indexed="81"/>
      <name val="Tahoma"/>
      <family val="2"/>
    </font>
    <font>
      <sz val="10"/>
      <name val="Arial"/>
      <family val="2"/>
    </font>
    <font>
      <b/>
      <sz val="10"/>
      <color indexed="55"/>
      <name val="Arial"/>
      <family val="2"/>
    </font>
    <font>
      <sz val="10"/>
      <color indexed="55"/>
      <name val="Arial"/>
      <family val="2"/>
    </font>
    <font>
      <sz val="9"/>
      <color indexed="81"/>
      <name val="Calibri"/>
      <family val="2"/>
    </font>
    <font>
      <sz val="9"/>
      <color indexed="8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8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b/>
      <sz val="22"/>
      <name val="Arial"/>
      <family val="2"/>
    </font>
    <font>
      <sz val="20"/>
      <name val="Arial"/>
      <family val="2"/>
    </font>
    <font>
      <b/>
      <sz val="20"/>
      <name val="Arial"/>
      <family val="2"/>
    </font>
    <font>
      <sz val="20"/>
      <color theme="1"/>
      <name val="Arial"/>
      <family val="2"/>
    </font>
    <font>
      <i/>
      <sz val="20"/>
      <name val="Arial"/>
      <family val="2"/>
    </font>
    <font>
      <b/>
      <sz val="22"/>
      <color theme="0"/>
      <name val="Arial"/>
      <family val="2"/>
    </font>
    <font>
      <b/>
      <sz val="16"/>
      <name val="Lato"/>
      <family val="2"/>
    </font>
    <font>
      <b/>
      <sz val="10"/>
      <name val="Lato"/>
      <family val="2"/>
    </font>
    <font>
      <sz val="16"/>
      <name val="Lato"/>
      <family val="2"/>
    </font>
    <font>
      <b/>
      <sz val="16"/>
      <color rgb="FFFF0000"/>
      <name val="Lato"/>
      <family val="2"/>
    </font>
    <font>
      <b/>
      <sz val="14"/>
      <name val="Lato"/>
      <family val="2"/>
    </font>
    <font>
      <sz val="16"/>
      <color theme="0"/>
      <name val="Lato"/>
      <family val="2"/>
    </font>
    <font>
      <b/>
      <sz val="16"/>
      <color theme="0"/>
      <name val="Lato"/>
      <family val="2"/>
    </font>
    <font>
      <b/>
      <u/>
      <sz val="16"/>
      <color theme="0"/>
      <name val="Lato"/>
      <family val="2"/>
    </font>
    <font>
      <sz val="14"/>
      <name val="Lato"/>
      <family val="2"/>
    </font>
    <font>
      <sz val="13"/>
      <color rgb="FF545859"/>
      <name val="Lato"/>
      <family val="2"/>
    </font>
    <font>
      <b/>
      <sz val="13"/>
      <color rgb="FF000000"/>
      <name val="Lato"/>
      <family val="2"/>
    </font>
    <font>
      <b/>
      <u/>
      <sz val="13"/>
      <color rgb="FF000000"/>
      <name val="Lato"/>
      <family val="2"/>
    </font>
    <font>
      <sz val="14"/>
      <color rgb="FF000000"/>
      <name val="Lato"/>
      <family val="2"/>
    </font>
    <font>
      <sz val="12"/>
      <color rgb="FF000000"/>
      <name val="Lato"/>
      <family val="2"/>
    </font>
    <font>
      <sz val="14"/>
      <color rgb="FF545859"/>
      <name val="Lato"/>
      <family val="2"/>
    </font>
    <font>
      <sz val="10"/>
      <name val="Lato"/>
      <family val="2"/>
    </font>
  </fonts>
  <fills count="21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A63"/>
        <bgColor indexed="64"/>
      </patternFill>
    </fill>
    <fill>
      <patternFill patternType="solid">
        <fgColor rgb="FF19567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rgb="FF000000"/>
      </patternFill>
    </fill>
  </fills>
  <borders count="3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</cellStyleXfs>
  <cellXfs count="366">
    <xf numFmtId="0" fontId="0" fillId="0" borderId="0" xfId="0"/>
    <xf numFmtId="9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164" fontId="2" fillId="0" borderId="0" xfId="3" applyNumberFormat="1" applyFont="1" applyFill="1" applyBorder="1" applyAlignment="1">
      <alignment horizontal="center"/>
    </xf>
    <xf numFmtId="164" fontId="0" fillId="0" borderId="0" xfId="0" applyNumberFormat="1"/>
    <xf numFmtId="166" fontId="0" fillId="0" borderId="0" xfId="0" applyNumberFormat="1"/>
    <xf numFmtId="1" fontId="0" fillId="0" borderId="0" xfId="0" applyNumberFormat="1" applyAlignment="1">
      <alignment horizontal="left"/>
    </xf>
    <xf numFmtId="165" fontId="0" fillId="0" borderId="0" xfId="0" applyNumberFormat="1" applyAlignment="1">
      <alignment horizontal="right" indent="2"/>
    </xf>
    <xf numFmtId="3" fontId="2" fillId="0" borderId="2" xfId="0" applyNumberFormat="1" applyFont="1" applyBorder="1"/>
    <xf numFmtId="9" fontId="2" fillId="0" borderId="3" xfId="0" applyNumberFormat="1" applyFont="1" applyBorder="1" applyAlignment="1">
      <alignment horizontal="center"/>
    </xf>
    <xf numFmtId="9" fontId="2" fillId="0" borderId="4" xfId="0" applyNumberFormat="1" applyFont="1" applyBorder="1" applyAlignment="1">
      <alignment horizontal="center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6" fillId="0" borderId="5" xfId="0" applyFont="1" applyBorder="1" applyAlignment="1">
      <alignment horizontal="center" wrapText="1"/>
    </xf>
    <xf numFmtId="0" fontId="7" fillId="0" borderId="5" xfId="0" applyFont="1" applyBorder="1"/>
    <xf numFmtId="0" fontId="0" fillId="0" borderId="1" xfId="0" applyBorder="1"/>
    <xf numFmtId="0" fontId="0" fillId="0" borderId="6" xfId="0" applyBorder="1"/>
    <xf numFmtId="44" fontId="2" fillId="0" borderId="0" xfId="2" applyFont="1" applyFill="1" applyBorder="1" applyAlignment="1">
      <alignment horizontal="center"/>
    </xf>
    <xf numFmtId="9" fontId="0" fillId="0" borderId="0" xfId="3" applyFont="1" applyFill="1" applyAlignment="1">
      <alignment horizontal="center"/>
    </xf>
    <xf numFmtId="9" fontId="0" fillId="0" borderId="0" xfId="3" applyFont="1" applyFill="1" applyBorder="1" applyAlignment="1">
      <alignment horizontal="center"/>
    </xf>
    <xf numFmtId="44" fontId="0" fillId="0" borderId="0" xfId="2" applyFont="1" applyFill="1" applyAlignment="1">
      <alignment horizontal="center"/>
    </xf>
    <xf numFmtId="44" fontId="0" fillId="0" borderId="0" xfId="2" applyFont="1" applyFill="1" applyBorder="1" applyAlignment="1">
      <alignment horizontal="center"/>
    </xf>
    <xf numFmtId="0" fontId="2" fillId="0" borderId="7" xfId="0" applyFont="1" applyBorder="1"/>
    <xf numFmtId="0" fontId="2" fillId="0" borderId="7" xfId="0" applyFont="1" applyBorder="1" applyAlignment="1">
      <alignment horizontal="center"/>
    </xf>
    <xf numFmtId="0" fontId="2" fillId="2" borderId="7" xfId="0" applyFont="1" applyFill="1" applyBorder="1" applyAlignment="1">
      <alignment horizontal="center" wrapText="1"/>
    </xf>
    <xf numFmtId="0" fontId="2" fillId="4" borderId="7" xfId="0" applyFont="1" applyFill="1" applyBorder="1" applyAlignment="1">
      <alignment horizontal="center"/>
    </xf>
    <xf numFmtId="0" fontId="2" fillId="4" borderId="10" xfId="0" applyFont="1" applyFill="1" applyBorder="1" applyAlignment="1">
      <alignment horizontal="center"/>
    </xf>
    <xf numFmtId="0" fontId="0" fillId="0" borderId="7" xfId="0" applyBorder="1"/>
    <xf numFmtId="44" fontId="0" fillId="0" borderId="0" xfId="0" applyNumberFormat="1"/>
    <xf numFmtId="10" fontId="0" fillId="0" borderId="0" xfId="0" applyNumberFormat="1"/>
    <xf numFmtId="0" fontId="5" fillId="0" borderId="0" xfId="0" applyFont="1"/>
    <xf numFmtId="37" fontId="7" fillId="0" borderId="0" xfId="2" applyNumberFormat="1" applyFont="1" applyFill="1" applyBorder="1"/>
    <xf numFmtId="44" fontId="0" fillId="0" borderId="7" xfId="0" applyNumberFormat="1" applyBorder="1"/>
    <xf numFmtId="0" fontId="0" fillId="11" borderId="7" xfId="0" applyFill="1" applyBorder="1"/>
    <xf numFmtId="44" fontId="0" fillId="12" borderId="7" xfId="0" applyNumberFormat="1" applyFill="1" applyBorder="1"/>
    <xf numFmtId="44" fontId="2" fillId="12" borderId="7" xfId="2" applyFont="1" applyFill="1" applyBorder="1"/>
    <xf numFmtId="0" fontId="1" fillId="11" borderId="7" xfId="0" applyFont="1" applyFill="1" applyBorder="1"/>
    <xf numFmtId="2" fontId="0" fillId="2" borderId="7" xfId="2" applyNumberFormat="1" applyFont="1" applyFill="1" applyBorder="1" applyAlignment="1">
      <alignment horizontal="right" vertical="center" indent="1"/>
    </xf>
    <xf numFmtId="3" fontId="5" fillId="0" borderId="7" xfId="0" applyNumberFormat="1" applyFont="1" applyBorder="1" applyAlignment="1">
      <alignment vertical="center"/>
    </xf>
    <xf numFmtId="3" fontId="5" fillId="4" borderId="7" xfId="0" applyNumberFormat="1" applyFont="1" applyFill="1" applyBorder="1" applyAlignment="1">
      <alignment vertical="center"/>
    </xf>
    <xf numFmtId="4" fontId="5" fillId="4" borderId="7" xfId="0" applyNumberFormat="1" applyFont="1" applyFill="1" applyBorder="1" applyAlignment="1">
      <alignment vertical="center"/>
    </xf>
    <xf numFmtId="4" fontId="5" fillId="5" borderId="7" xfId="0" applyNumberFormat="1" applyFont="1" applyFill="1" applyBorder="1" applyAlignment="1">
      <alignment vertical="center"/>
    </xf>
    <xf numFmtId="3" fontId="0" fillId="6" borderId="7" xfId="0" applyNumberFormat="1" applyFill="1" applyBorder="1" applyAlignment="1">
      <alignment vertical="center"/>
    </xf>
    <xf numFmtId="4" fontId="0" fillId="6" borderId="7" xfId="0" applyNumberFormat="1" applyFill="1" applyBorder="1" applyAlignment="1">
      <alignment vertical="center"/>
    </xf>
    <xf numFmtId="3" fontId="0" fillId="7" borderId="7" xfId="0" applyNumberFormat="1" applyFill="1" applyBorder="1" applyAlignment="1">
      <alignment vertical="center"/>
    </xf>
    <xf numFmtId="4" fontId="0" fillId="7" borderId="7" xfId="0" applyNumberFormat="1" applyFill="1" applyBorder="1" applyAlignment="1">
      <alignment vertical="center"/>
    </xf>
    <xf numFmtId="167" fontId="0" fillId="8" borderId="7" xfId="1" applyNumberFormat="1" applyFont="1" applyFill="1" applyBorder="1" applyAlignment="1">
      <alignment vertical="center"/>
    </xf>
    <xf numFmtId="43" fontId="0" fillId="8" borderId="7" xfId="1" applyFont="1" applyFill="1" applyBorder="1" applyAlignment="1">
      <alignment vertical="center"/>
    </xf>
    <xf numFmtId="3" fontId="0" fillId="9" borderId="7" xfId="0" applyNumberFormat="1" applyFill="1" applyBorder="1" applyAlignment="1">
      <alignment horizontal="center" vertical="center"/>
    </xf>
    <xf numFmtId="4" fontId="0" fillId="9" borderId="7" xfId="0" applyNumberFormat="1" applyFill="1" applyBorder="1" applyAlignment="1">
      <alignment horizontal="center" vertical="center"/>
    </xf>
    <xf numFmtId="166" fontId="0" fillId="4" borderId="7" xfId="2" applyNumberFormat="1" applyFont="1" applyFill="1" applyBorder="1" applyAlignment="1">
      <alignment vertical="center"/>
    </xf>
    <xf numFmtId="2" fontId="0" fillId="4" borderId="7" xfId="2" applyNumberFormat="1" applyFont="1" applyFill="1" applyBorder="1" applyAlignment="1">
      <alignment horizontal="center" vertical="center"/>
    </xf>
    <xf numFmtId="166" fontId="0" fillId="0" borderId="0" xfId="0" applyNumberFormat="1" applyAlignment="1">
      <alignment vertical="center"/>
    </xf>
    <xf numFmtId="44" fontId="0" fillId="12" borderId="7" xfId="0" applyNumberFormat="1" applyFill="1" applyBorder="1" applyAlignment="1">
      <alignment vertical="center"/>
    </xf>
    <xf numFmtId="44" fontId="2" fillId="12" borderId="7" xfId="2" applyFont="1" applyFill="1" applyBorder="1" applyAlignment="1">
      <alignment vertical="center"/>
    </xf>
    <xf numFmtId="44" fontId="0" fillId="0" borderId="7" xfId="0" applyNumberFormat="1" applyBorder="1" applyAlignment="1">
      <alignment vertical="center"/>
    </xf>
    <xf numFmtId="3" fontId="5" fillId="5" borderId="7" xfId="0" applyNumberFormat="1" applyFont="1" applyFill="1" applyBorder="1" applyAlignment="1">
      <alignment vertical="center"/>
    </xf>
    <xf numFmtId="168" fontId="0" fillId="13" borderId="7" xfId="2" applyNumberFormat="1" applyFont="1" applyFill="1" applyBorder="1" applyAlignment="1">
      <alignment horizontal="center" vertical="center"/>
    </xf>
    <xf numFmtId="0" fontId="2" fillId="13" borderId="7" xfId="0" applyFont="1" applyFill="1" applyBorder="1" applyAlignment="1">
      <alignment horizontal="center"/>
    </xf>
    <xf numFmtId="2" fontId="0" fillId="2" borderId="8" xfId="2" applyNumberFormat="1" applyFont="1" applyFill="1" applyBorder="1" applyAlignment="1">
      <alignment horizontal="right" vertical="center" indent="1"/>
    </xf>
    <xf numFmtId="0" fontId="2" fillId="0" borderId="10" xfId="0" applyFont="1" applyBorder="1" applyAlignment="1">
      <alignment horizontal="right"/>
    </xf>
    <xf numFmtId="0" fontId="2" fillId="0" borderId="10" xfId="0" applyFont="1" applyBorder="1" applyAlignment="1">
      <alignment horizontal="center"/>
    </xf>
    <xf numFmtId="0" fontId="2" fillId="5" borderId="10" xfId="0" applyFont="1" applyFill="1" applyBorder="1" applyAlignment="1">
      <alignment horizontal="center"/>
    </xf>
    <xf numFmtId="0" fontId="2" fillId="6" borderId="10" xfId="0" applyFont="1" applyFill="1" applyBorder="1" applyAlignment="1">
      <alignment horizontal="center"/>
    </xf>
    <xf numFmtId="0" fontId="2" fillId="7" borderId="10" xfId="0" applyFont="1" applyFill="1" applyBorder="1" applyAlignment="1">
      <alignment horizontal="center"/>
    </xf>
    <xf numFmtId="0" fontId="2" fillId="8" borderId="10" xfId="0" applyFont="1" applyFill="1" applyBorder="1" applyAlignment="1">
      <alignment horizontal="center"/>
    </xf>
    <xf numFmtId="0" fontId="2" fillId="9" borderId="10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13" borderId="10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right"/>
    </xf>
    <xf numFmtId="0" fontId="1" fillId="5" borderId="10" xfId="0" applyFont="1" applyFill="1" applyBorder="1" applyAlignment="1">
      <alignment horizontal="right"/>
    </xf>
    <xf numFmtId="0" fontId="1" fillId="6" borderId="10" xfId="0" applyFont="1" applyFill="1" applyBorder="1" applyAlignment="1">
      <alignment horizontal="right"/>
    </xf>
    <xf numFmtId="0" fontId="1" fillId="7" borderId="10" xfId="0" applyFont="1" applyFill="1" applyBorder="1" applyAlignment="1">
      <alignment horizontal="right"/>
    </xf>
    <xf numFmtId="0" fontId="1" fillId="8" borderId="10" xfId="0" applyFont="1" applyFill="1" applyBorder="1" applyAlignment="1">
      <alignment horizontal="center"/>
    </xf>
    <xf numFmtId="0" fontId="1" fillId="9" borderId="10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3" fontId="5" fillId="0" borderId="10" xfId="0" applyNumberFormat="1" applyFont="1" applyBorder="1" applyAlignment="1">
      <alignment vertical="center"/>
    </xf>
    <xf numFmtId="3" fontId="5" fillId="4" borderId="10" xfId="0" applyNumberFormat="1" applyFont="1" applyFill="1" applyBorder="1" applyAlignment="1">
      <alignment vertical="center"/>
    </xf>
    <xf numFmtId="4" fontId="5" fillId="4" borderId="10" xfId="0" applyNumberFormat="1" applyFont="1" applyFill="1" applyBorder="1" applyAlignment="1">
      <alignment vertical="center"/>
    </xf>
    <xf numFmtId="3" fontId="5" fillId="5" borderId="10" xfId="0" applyNumberFormat="1" applyFont="1" applyFill="1" applyBorder="1" applyAlignment="1">
      <alignment vertical="center"/>
    </xf>
    <xf numFmtId="4" fontId="5" fillId="5" borderId="10" xfId="0" applyNumberFormat="1" applyFont="1" applyFill="1" applyBorder="1" applyAlignment="1">
      <alignment vertical="center"/>
    </xf>
    <xf numFmtId="3" fontId="0" fillId="6" borderId="10" xfId="0" applyNumberFormat="1" applyFill="1" applyBorder="1" applyAlignment="1">
      <alignment vertical="center"/>
    </xf>
    <xf numFmtId="4" fontId="0" fillId="6" borderId="10" xfId="0" applyNumberFormat="1" applyFill="1" applyBorder="1" applyAlignment="1">
      <alignment vertical="center"/>
    </xf>
    <xf numFmtId="3" fontId="0" fillId="7" borderId="10" xfId="0" applyNumberFormat="1" applyFill="1" applyBorder="1" applyAlignment="1">
      <alignment vertical="center"/>
    </xf>
    <xf numFmtId="4" fontId="0" fillId="7" borderId="10" xfId="0" applyNumberFormat="1" applyFill="1" applyBorder="1" applyAlignment="1">
      <alignment vertical="center"/>
    </xf>
    <xf numFmtId="167" fontId="0" fillId="8" borderId="10" xfId="1" applyNumberFormat="1" applyFont="1" applyFill="1" applyBorder="1" applyAlignment="1">
      <alignment vertical="center"/>
    </xf>
    <xf numFmtId="43" fontId="0" fillId="8" borderId="10" xfId="1" applyFont="1" applyFill="1" applyBorder="1" applyAlignment="1">
      <alignment vertical="center"/>
    </xf>
    <xf numFmtId="3" fontId="0" fillId="9" borderId="10" xfId="0" applyNumberFormat="1" applyFill="1" applyBorder="1" applyAlignment="1">
      <alignment horizontal="center" vertical="center"/>
    </xf>
    <xf numFmtId="4" fontId="0" fillId="9" borderId="10" xfId="0" applyNumberFormat="1" applyFill="1" applyBorder="1" applyAlignment="1">
      <alignment horizontal="center" vertical="center"/>
    </xf>
    <xf numFmtId="2" fontId="0" fillId="2" borderId="10" xfId="2" applyNumberFormat="1" applyFont="1" applyFill="1" applyBorder="1" applyAlignment="1">
      <alignment horizontal="right" vertical="center" indent="1"/>
    </xf>
    <xf numFmtId="168" fontId="0" fillId="13" borderId="10" xfId="2" applyNumberFormat="1" applyFont="1" applyFill="1" applyBorder="1" applyAlignment="1">
      <alignment horizontal="center" vertical="center"/>
    </xf>
    <xf numFmtId="166" fontId="0" fillId="4" borderId="10" xfId="2" applyNumberFormat="1" applyFont="1" applyFill="1" applyBorder="1" applyAlignment="1">
      <alignment vertical="center"/>
    </xf>
    <xf numFmtId="2" fontId="0" fillId="4" borderId="10" xfId="2" applyNumberFormat="1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right"/>
    </xf>
    <xf numFmtId="4" fontId="5" fillId="3" borderId="12" xfId="0" applyNumberFormat="1" applyFont="1" applyFill="1" applyBorder="1" applyAlignment="1">
      <alignment vertical="center"/>
    </xf>
    <xf numFmtId="4" fontId="5" fillId="3" borderId="14" xfId="0" applyNumberFormat="1" applyFont="1" applyFill="1" applyBorder="1" applyAlignment="1">
      <alignment vertical="center"/>
    </xf>
    <xf numFmtId="3" fontId="2" fillId="0" borderId="0" xfId="0" applyNumberFormat="1" applyFont="1"/>
    <xf numFmtId="4" fontId="5" fillId="3" borderId="13" xfId="0" applyNumberFormat="1" applyFont="1" applyFill="1" applyBorder="1"/>
    <xf numFmtId="3" fontId="5" fillId="0" borderId="11" xfId="0" applyNumberFormat="1" applyFont="1" applyBorder="1"/>
    <xf numFmtId="3" fontId="5" fillId="4" borderId="11" xfId="0" applyNumberFormat="1" applyFont="1" applyFill="1" applyBorder="1"/>
    <xf numFmtId="4" fontId="5" fillId="4" borderId="11" xfId="0" applyNumberFormat="1" applyFont="1" applyFill="1" applyBorder="1"/>
    <xf numFmtId="3" fontId="5" fillId="5" borderId="11" xfId="0" applyNumberFormat="1" applyFont="1" applyFill="1" applyBorder="1" applyAlignment="1">
      <alignment vertical="center"/>
    </xf>
    <xf numFmtId="4" fontId="5" fillId="5" borderId="11" xfId="0" applyNumberFormat="1" applyFont="1" applyFill="1" applyBorder="1"/>
    <xf numFmtId="3" fontId="0" fillId="6" borderId="11" xfId="0" applyNumberFormat="1" applyFill="1" applyBorder="1"/>
    <xf numFmtId="4" fontId="0" fillId="6" borderId="11" xfId="0" applyNumberFormat="1" applyFill="1" applyBorder="1"/>
    <xf numFmtId="3" fontId="0" fillId="7" borderId="11" xfId="0" applyNumberFormat="1" applyFill="1" applyBorder="1"/>
    <xf numFmtId="4" fontId="0" fillId="7" borderId="11" xfId="0" applyNumberFormat="1" applyFill="1" applyBorder="1"/>
    <xf numFmtId="167" fontId="0" fillId="8" borderId="11" xfId="1" applyNumberFormat="1" applyFont="1" applyFill="1" applyBorder="1"/>
    <xf numFmtId="43" fontId="0" fillId="8" borderId="11" xfId="1" applyFont="1" applyFill="1" applyBorder="1"/>
    <xf numFmtId="3" fontId="0" fillId="9" borderId="11" xfId="0" applyNumberFormat="1" applyFill="1" applyBorder="1" applyAlignment="1">
      <alignment horizontal="center"/>
    </xf>
    <xf numFmtId="4" fontId="0" fillId="9" borderId="11" xfId="0" applyNumberFormat="1" applyFill="1" applyBorder="1" applyAlignment="1">
      <alignment horizontal="center"/>
    </xf>
    <xf numFmtId="9" fontId="0" fillId="2" borderId="11" xfId="3" applyFont="1" applyFill="1" applyBorder="1" applyAlignment="1">
      <alignment horizontal="center"/>
    </xf>
    <xf numFmtId="2" fontId="0" fillId="2" borderId="11" xfId="2" applyNumberFormat="1" applyFont="1" applyFill="1" applyBorder="1" applyAlignment="1">
      <alignment horizontal="right" vertical="center" indent="1"/>
    </xf>
    <xf numFmtId="168" fontId="0" fillId="13" borderId="11" xfId="2" applyNumberFormat="1" applyFont="1" applyFill="1" applyBorder="1" applyAlignment="1">
      <alignment horizontal="center"/>
    </xf>
    <xf numFmtId="166" fontId="0" fillId="4" borderId="11" xfId="2" applyNumberFormat="1" applyFont="1" applyFill="1" applyBorder="1"/>
    <xf numFmtId="2" fontId="0" fillId="4" borderId="11" xfId="2" applyNumberFormat="1" applyFont="1" applyFill="1" applyBorder="1" applyAlignment="1">
      <alignment horizontal="center"/>
    </xf>
    <xf numFmtId="3" fontId="2" fillId="0" borderId="8" xfId="0" applyNumberFormat="1" applyFont="1" applyBorder="1" applyAlignment="1">
      <alignment vertical="center"/>
    </xf>
    <xf numFmtId="3" fontId="2" fillId="3" borderId="15" xfId="0" applyNumberFormat="1" applyFont="1" applyFill="1" applyBorder="1" applyAlignment="1">
      <alignment vertical="center"/>
    </xf>
    <xf numFmtId="3" fontId="2" fillId="4" borderId="8" xfId="0" applyNumberFormat="1" applyFont="1" applyFill="1" applyBorder="1" applyAlignment="1">
      <alignment vertical="center"/>
    </xf>
    <xf numFmtId="3" fontId="2" fillId="5" borderId="8" xfId="0" applyNumberFormat="1" applyFont="1" applyFill="1" applyBorder="1" applyAlignment="1">
      <alignment vertical="center"/>
    </xf>
    <xf numFmtId="3" fontId="2" fillId="6" borderId="8" xfId="0" applyNumberFormat="1" applyFont="1" applyFill="1" applyBorder="1" applyAlignment="1">
      <alignment vertical="center"/>
    </xf>
    <xf numFmtId="3" fontId="2" fillId="7" borderId="8" xfId="0" applyNumberFormat="1" applyFont="1" applyFill="1" applyBorder="1" applyAlignment="1">
      <alignment vertical="center"/>
    </xf>
    <xf numFmtId="3" fontId="2" fillId="8" borderId="8" xfId="0" applyNumberFormat="1" applyFont="1" applyFill="1" applyBorder="1" applyAlignment="1">
      <alignment vertical="center"/>
    </xf>
    <xf numFmtId="3" fontId="2" fillId="9" borderId="8" xfId="0" applyNumberFormat="1" applyFont="1" applyFill="1" applyBorder="1" applyAlignment="1">
      <alignment horizontal="center" vertical="center"/>
    </xf>
    <xf numFmtId="10" fontId="2" fillId="2" borderId="8" xfId="3" applyNumberFormat="1" applyFont="1" applyFill="1" applyBorder="1" applyAlignment="1">
      <alignment horizontal="center" vertical="center"/>
    </xf>
    <xf numFmtId="2" fontId="2" fillId="2" borderId="8" xfId="2" quotePrefix="1" applyNumberFormat="1" applyFont="1" applyFill="1" applyBorder="1" applyAlignment="1">
      <alignment horizontal="right" vertical="center" indent="1"/>
    </xf>
    <xf numFmtId="2" fontId="2" fillId="2" borderId="8" xfId="2" applyNumberFormat="1" applyFont="1" applyFill="1" applyBorder="1" applyAlignment="1">
      <alignment horizontal="right" vertical="center" indent="1"/>
    </xf>
    <xf numFmtId="166" fontId="2" fillId="2" borderId="8" xfId="2" applyNumberFormat="1" applyFont="1" applyFill="1" applyBorder="1" applyAlignment="1">
      <alignment vertical="center"/>
    </xf>
    <xf numFmtId="166" fontId="2" fillId="13" borderId="8" xfId="2" applyNumberFormat="1" applyFont="1" applyFill="1" applyBorder="1" applyAlignment="1">
      <alignment vertical="center"/>
    </xf>
    <xf numFmtId="9" fontId="2" fillId="13" borderId="8" xfId="2" applyNumberFormat="1" applyFont="1" applyFill="1" applyBorder="1" applyAlignment="1">
      <alignment horizontal="center" vertical="center"/>
    </xf>
    <xf numFmtId="166" fontId="2" fillId="4" borderId="8" xfId="2" applyNumberFormat="1" applyFont="1" applyFill="1" applyBorder="1" applyAlignment="1">
      <alignment vertical="center"/>
    </xf>
    <xf numFmtId="2" fontId="2" fillId="4" borderId="8" xfId="2" applyNumberFormat="1" applyFont="1" applyFill="1" applyBorder="1" applyAlignment="1">
      <alignment horizontal="center" vertical="center"/>
    </xf>
    <xf numFmtId="9" fontId="0" fillId="2" borderId="9" xfId="3" applyFont="1" applyFill="1" applyBorder="1" applyAlignment="1">
      <alignment horizontal="center" vertical="center"/>
    </xf>
    <xf numFmtId="0" fontId="1" fillId="0" borderId="0" xfId="4"/>
    <xf numFmtId="169" fontId="0" fillId="0" borderId="0" xfId="3" applyNumberFormat="1" applyFont="1" applyFill="1" applyAlignment="1">
      <alignment horizontal="center"/>
    </xf>
    <xf numFmtId="9" fontId="2" fillId="2" borderId="7" xfId="3" applyFont="1" applyFill="1" applyBorder="1" applyAlignment="1">
      <alignment horizontal="center" wrapText="1"/>
    </xf>
    <xf numFmtId="44" fontId="2" fillId="13" borderId="7" xfId="2" applyFont="1" applyFill="1" applyBorder="1" applyAlignment="1">
      <alignment horizontal="center"/>
    </xf>
    <xf numFmtId="9" fontId="2" fillId="2" borderId="10" xfId="3" applyFont="1" applyFill="1" applyBorder="1" applyAlignment="1">
      <alignment horizontal="center"/>
    </xf>
    <xf numFmtId="44" fontId="2" fillId="13" borderId="10" xfId="2" applyFont="1" applyFill="1" applyBorder="1" applyAlignment="1">
      <alignment horizontal="center"/>
    </xf>
    <xf numFmtId="3" fontId="5" fillId="3" borderId="13" xfId="0" applyNumberFormat="1" applyFont="1" applyFill="1" applyBorder="1" applyAlignment="1">
      <alignment vertical="center"/>
    </xf>
    <xf numFmtId="3" fontId="5" fillId="3" borderId="12" xfId="0" applyNumberFormat="1" applyFont="1" applyFill="1" applyBorder="1" applyAlignment="1">
      <alignment vertical="center"/>
    </xf>
    <xf numFmtId="3" fontId="5" fillId="3" borderId="14" xfId="0" applyNumberFormat="1" applyFont="1" applyFill="1" applyBorder="1" applyAlignment="1">
      <alignment vertical="center"/>
    </xf>
    <xf numFmtId="0" fontId="2" fillId="14" borderId="14" xfId="0" applyFont="1" applyFill="1" applyBorder="1" applyAlignment="1">
      <alignment horizontal="center"/>
    </xf>
    <xf numFmtId="5" fontId="0" fillId="2" borderId="11" xfId="2" applyNumberFormat="1" applyFont="1" applyFill="1" applyBorder="1" applyAlignment="1">
      <alignment horizontal="right"/>
    </xf>
    <xf numFmtId="5" fontId="0" fillId="2" borderId="7" xfId="2" applyNumberFormat="1" applyFont="1" applyFill="1" applyBorder="1" applyAlignment="1">
      <alignment horizontal="right" vertical="center"/>
    </xf>
    <xf numFmtId="5" fontId="0" fillId="2" borderId="10" xfId="2" applyNumberFormat="1" applyFont="1" applyFill="1" applyBorder="1" applyAlignment="1">
      <alignment horizontal="right" vertical="center"/>
    </xf>
    <xf numFmtId="9" fontId="0" fillId="3" borderId="20" xfId="0" applyNumberFormat="1" applyFill="1" applyBorder="1" applyAlignment="1">
      <alignment vertical="center"/>
    </xf>
    <xf numFmtId="9" fontId="0" fillId="3" borderId="16" xfId="0" applyNumberFormat="1" applyFill="1" applyBorder="1" applyAlignment="1">
      <alignment vertical="center"/>
    </xf>
    <xf numFmtId="0" fontId="0" fillId="0" borderId="9" xfId="0" applyBorder="1" applyAlignment="1">
      <alignment vertical="center"/>
    </xf>
    <xf numFmtId="9" fontId="0" fillId="4" borderId="9" xfId="0" applyNumberFormat="1" applyFill="1" applyBorder="1" applyAlignment="1">
      <alignment vertical="center"/>
    </xf>
    <xf numFmtId="0" fontId="0" fillId="4" borderId="9" xfId="0" applyFill="1" applyBorder="1" applyAlignment="1">
      <alignment vertical="center"/>
    </xf>
    <xf numFmtId="9" fontId="0" fillId="5" borderId="9" xfId="0" applyNumberFormat="1" applyFill="1" applyBorder="1" applyAlignment="1">
      <alignment vertical="center"/>
    </xf>
    <xf numFmtId="9" fontId="0" fillId="6" borderId="9" xfId="0" applyNumberFormat="1" applyFill="1" applyBorder="1" applyAlignment="1">
      <alignment vertical="center"/>
    </xf>
    <xf numFmtId="9" fontId="0" fillId="7" borderId="9" xfId="0" applyNumberFormat="1" applyFill="1" applyBorder="1" applyAlignment="1">
      <alignment vertical="center"/>
    </xf>
    <xf numFmtId="9" fontId="0" fillId="8" borderId="9" xfId="0" applyNumberFormat="1" applyFill="1" applyBorder="1" applyAlignment="1">
      <alignment vertical="center"/>
    </xf>
    <xf numFmtId="9" fontId="0" fillId="9" borderId="9" xfId="0" applyNumberFormat="1" applyFill="1" applyBorder="1" applyAlignment="1">
      <alignment horizontal="center" vertical="center"/>
    </xf>
    <xf numFmtId="0" fontId="0" fillId="9" borderId="9" xfId="0" applyFill="1" applyBorder="1" applyAlignment="1">
      <alignment horizontal="center" vertical="center"/>
    </xf>
    <xf numFmtId="0" fontId="0" fillId="2" borderId="9" xfId="0" applyFill="1" applyBorder="1" applyAlignment="1">
      <alignment vertical="center"/>
    </xf>
    <xf numFmtId="9" fontId="0" fillId="13" borderId="9" xfId="0" applyNumberFormat="1" applyFill="1" applyBorder="1" applyAlignment="1">
      <alignment vertical="center"/>
    </xf>
    <xf numFmtId="44" fontId="0" fillId="13" borderId="9" xfId="2" applyFont="1" applyFill="1" applyBorder="1" applyAlignment="1">
      <alignment horizontal="center" vertical="center"/>
    </xf>
    <xf numFmtId="9" fontId="2" fillId="0" borderId="17" xfId="0" applyNumberFormat="1" applyFont="1" applyBorder="1" applyAlignment="1">
      <alignment vertical="center"/>
    </xf>
    <xf numFmtId="0" fontId="2" fillId="0" borderId="18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166" fontId="1" fillId="10" borderId="11" xfId="2" applyNumberFormat="1" applyFont="1" applyFill="1" applyBorder="1"/>
    <xf numFmtId="6" fontId="0" fillId="0" borderId="0" xfId="0" applyNumberFormat="1" applyAlignment="1">
      <alignment horizontal="right" vertical="center" indent="1"/>
    </xf>
    <xf numFmtId="164" fontId="1" fillId="0" borderId="0" xfId="4" applyNumberFormat="1"/>
    <xf numFmtId="0" fontId="1" fillId="0" borderId="0" xfId="0" applyFont="1" applyAlignment="1">
      <alignment horizontal="center" wrapText="1"/>
    </xf>
    <xf numFmtId="166" fontId="1" fillId="0" borderId="0" xfId="2" applyNumberFormat="1"/>
    <xf numFmtId="44" fontId="1" fillId="0" borderId="0" xfId="4" applyNumberFormat="1"/>
    <xf numFmtId="4" fontId="5" fillId="3" borderId="13" xfId="0" applyNumberFormat="1" applyFont="1" applyFill="1" applyBorder="1" applyAlignment="1">
      <alignment vertical="center"/>
    </xf>
    <xf numFmtId="3" fontId="5" fillId="0" borderId="11" xfId="0" applyNumberFormat="1" applyFont="1" applyBorder="1" applyAlignment="1">
      <alignment vertical="center"/>
    </xf>
    <xf numFmtId="3" fontId="5" fillId="4" borderId="11" xfId="0" applyNumberFormat="1" applyFont="1" applyFill="1" applyBorder="1" applyAlignment="1">
      <alignment vertical="center"/>
    </xf>
    <xf numFmtId="4" fontId="5" fillId="4" borderId="11" xfId="0" applyNumberFormat="1" applyFont="1" applyFill="1" applyBorder="1" applyAlignment="1">
      <alignment vertical="center"/>
    </xf>
    <xf numFmtId="4" fontId="5" fillId="5" borderId="11" xfId="0" applyNumberFormat="1" applyFont="1" applyFill="1" applyBorder="1" applyAlignment="1">
      <alignment vertical="center"/>
    </xf>
    <xf numFmtId="3" fontId="0" fillId="6" borderId="11" xfId="0" applyNumberFormat="1" applyFill="1" applyBorder="1" applyAlignment="1">
      <alignment vertical="center"/>
    </xf>
    <xf numFmtId="4" fontId="0" fillId="6" borderId="11" xfId="0" applyNumberFormat="1" applyFill="1" applyBorder="1" applyAlignment="1">
      <alignment vertical="center"/>
    </xf>
    <xf numFmtId="3" fontId="0" fillId="7" borderId="11" xfId="0" applyNumberFormat="1" applyFill="1" applyBorder="1" applyAlignment="1">
      <alignment vertical="center"/>
    </xf>
    <xf numFmtId="4" fontId="0" fillId="7" borderId="11" xfId="0" applyNumberFormat="1" applyFill="1" applyBorder="1" applyAlignment="1">
      <alignment vertical="center"/>
    </xf>
    <xf numFmtId="167" fontId="0" fillId="8" borderId="11" xfId="1" applyNumberFormat="1" applyFont="1" applyFill="1" applyBorder="1" applyAlignment="1">
      <alignment vertical="center"/>
    </xf>
    <xf numFmtId="43" fontId="0" fillId="8" borderId="11" xfId="1" applyFont="1" applyFill="1" applyBorder="1" applyAlignment="1">
      <alignment vertical="center"/>
    </xf>
    <xf numFmtId="3" fontId="0" fillId="9" borderId="11" xfId="0" applyNumberFormat="1" applyFill="1" applyBorder="1" applyAlignment="1">
      <alignment horizontal="center" vertical="center"/>
    </xf>
    <xf numFmtId="4" fontId="0" fillId="9" borderId="11" xfId="0" applyNumberFormat="1" applyFill="1" applyBorder="1" applyAlignment="1">
      <alignment horizontal="center" vertical="center"/>
    </xf>
    <xf numFmtId="5" fontId="0" fillId="2" borderId="11" xfId="2" applyNumberFormat="1" applyFont="1" applyFill="1" applyBorder="1" applyAlignment="1">
      <alignment horizontal="right" vertical="center"/>
    </xf>
    <xf numFmtId="168" fontId="0" fillId="13" borderId="11" xfId="2" applyNumberFormat="1" applyFont="1" applyFill="1" applyBorder="1" applyAlignment="1">
      <alignment horizontal="center" vertical="center"/>
    </xf>
    <xf numFmtId="166" fontId="0" fillId="4" borderId="11" xfId="2" applyNumberFormat="1" applyFont="1" applyFill="1" applyBorder="1" applyAlignment="1">
      <alignment vertical="center"/>
    </xf>
    <xf numFmtId="2" fontId="0" fillId="4" borderId="11" xfId="2" applyNumberFormat="1" applyFont="1" applyFill="1" applyBorder="1" applyAlignment="1">
      <alignment horizontal="center" vertical="center"/>
    </xf>
    <xf numFmtId="44" fontId="0" fillId="12" borderId="11" xfId="0" applyNumberFormat="1" applyFill="1" applyBorder="1" applyAlignment="1">
      <alignment vertical="center"/>
    </xf>
    <xf numFmtId="44" fontId="2" fillId="12" borderId="11" xfId="2" applyFont="1" applyFill="1" applyBorder="1" applyAlignment="1">
      <alignment vertical="center"/>
    </xf>
    <xf numFmtId="44" fontId="0" fillId="0" borderId="11" xfId="0" applyNumberFormat="1" applyBorder="1" applyAlignment="1">
      <alignment vertical="center"/>
    </xf>
    <xf numFmtId="3" fontId="5" fillId="3" borderId="15" xfId="0" applyNumberFormat="1" applyFont="1" applyFill="1" applyBorder="1" applyAlignment="1">
      <alignment vertical="center"/>
    </xf>
    <xf numFmtId="4" fontId="5" fillId="3" borderId="15" xfId="0" applyNumberFormat="1" applyFont="1" applyFill="1" applyBorder="1" applyAlignment="1">
      <alignment vertical="center"/>
    </xf>
    <xf numFmtId="3" fontId="5" fillId="0" borderId="8" xfId="0" applyNumberFormat="1" applyFont="1" applyBorder="1" applyAlignment="1">
      <alignment vertical="center"/>
    </xf>
    <xf numFmtId="3" fontId="5" fillId="4" borderId="8" xfId="0" applyNumberFormat="1" applyFont="1" applyFill="1" applyBorder="1" applyAlignment="1">
      <alignment vertical="center"/>
    </xf>
    <xf numFmtId="4" fontId="5" fillId="4" borderId="8" xfId="0" applyNumberFormat="1" applyFont="1" applyFill="1" applyBorder="1" applyAlignment="1">
      <alignment vertical="center"/>
    </xf>
    <xf numFmtId="3" fontId="5" fillId="5" borderId="8" xfId="0" applyNumberFormat="1" applyFont="1" applyFill="1" applyBorder="1" applyAlignment="1">
      <alignment vertical="center"/>
    </xf>
    <xf numFmtId="4" fontId="5" fillId="5" borderId="8" xfId="0" applyNumberFormat="1" applyFont="1" applyFill="1" applyBorder="1" applyAlignment="1">
      <alignment vertical="center"/>
    </xf>
    <xf numFmtId="3" fontId="0" fillId="6" borderId="8" xfId="0" applyNumberFormat="1" applyFill="1" applyBorder="1" applyAlignment="1">
      <alignment vertical="center"/>
    </xf>
    <xf numFmtId="4" fontId="0" fillId="6" borderId="8" xfId="0" applyNumberFormat="1" applyFill="1" applyBorder="1" applyAlignment="1">
      <alignment vertical="center"/>
    </xf>
    <xf numFmtId="3" fontId="0" fillId="7" borderId="8" xfId="0" applyNumberFormat="1" applyFill="1" applyBorder="1" applyAlignment="1">
      <alignment vertical="center"/>
    </xf>
    <xf numFmtId="4" fontId="0" fillId="7" borderId="8" xfId="0" applyNumberFormat="1" applyFill="1" applyBorder="1" applyAlignment="1">
      <alignment vertical="center"/>
    </xf>
    <xf numFmtId="167" fontId="0" fillId="8" borderId="8" xfId="1" applyNumberFormat="1" applyFont="1" applyFill="1" applyBorder="1" applyAlignment="1">
      <alignment vertical="center"/>
    </xf>
    <xf numFmtId="43" fontId="0" fillId="8" borderId="8" xfId="1" applyFont="1" applyFill="1" applyBorder="1" applyAlignment="1">
      <alignment vertical="center"/>
    </xf>
    <xf numFmtId="3" fontId="0" fillId="9" borderId="8" xfId="0" applyNumberFormat="1" applyFill="1" applyBorder="1" applyAlignment="1">
      <alignment horizontal="center" vertical="center"/>
    </xf>
    <xf numFmtId="4" fontId="0" fillId="9" borderId="8" xfId="0" applyNumberFormat="1" applyFill="1" applyBorder="1" applyAlignment="1">
      <alignment horizontal="center" vertical="center"/>
    </xf>
    <xf numFmtId="9" fontId="0" fillId="2" borderId="21" xfId="3" applyFont="1" applyFill="1" applyBorder="1" applyAlignment="1">
      <alignment horizontal="center"/>
    </xf>
    <xf numFmtId="5" fontId="0" fillId="2" borderId="8" xfId="2" applyNumberFormat="1" applyFont="1" applyFill="1" applyBorder="1" applyAlignment="1">
      <alignment horizontal="right" vertical="center"/>
    </xf>
    <xf numFmtId="168" fontId="0" fillId="13" borderId="8" xfId="2" applyNumberFormat="1" applyFont="1" applyFill="1" applyBorder="1" applyAlignment="1">
      <alignment horizontal="center" vertical="center"/>
    </xf>
    <xf numFmtId="166" fontId="0" fillId="4" borderId="8" xfId="2" applyNumberFormat="1" applyFont="1" applyFill="1" applyBorder="1" applyAlignment="1">
      <alignment vertical="center"/>
    </xf>
    <xf numFmtId="2" fontId="0" fillId="4" borderId="8" xfId="2" applyNumberFormat="1" applyFont="1" applyFill="1" applyBorder="1" applyAlignment="1">
      <alignment horizontal="center" vertical="center"/>
    </xf>
    <xf numFmtId="44" fontId="0" fillId="12" borderId="8" xfId="0" applyNumberFormat="1" applyFill="1" applyBorder="1" applyAlignment="1">
      <alignment vertical="center"/>
    </xf>
    <xf numFmtId="44" fontId="2" fillId="12" borderId="8" xfId="2" applyFont="1" applyFill="1" applyBorder="1" applyAlignment="1">
      <alignment vertical="center"/>
    </xf>
    <xf numFmtId="44" fontId="0" fillId="0" borderId="8" xfId="0" applyNumberFormat="1" applyBorder="1" applyAlignment="1">
      <alignment vertical="center"/>
    </xf>
    <xf numFmtId="3" fontId="5" fillId="3" borderId="16" xfId="0" applyNumberFormat="1" applyFont="1" applyFill="1" applyBorder="1" applyAlignment="1">
      <alignment vertical="center"/>
    </xf>
    <xf numFmtId="4" fontId="5" fillId="3" borderId="16" xfId="0" applyNumberFormat="1" applyFont="1" applyFill="1" applyBorder="1" applyAlignment="1">
      <alignment vertical="center"/>
    </xf>
    <xf numFmtId="3" fontId="5" fillId="0" borderId="9" xfId="0" applyNumberFormat="1" applyFont="1" applyBorder="1" applyAlignment="1">
      <alignment vertical="center"/>
    </xf>
    <xf numFmtId="3" fontId="5" fillId="4" borderId="9" xfId="0" applyNumberFormat="1" applyFont="1" applyFill="1" applyBorder="1" applyAlignment="1">
      <alignment vertical="center"/>
    </xf>
    <xf numFmtId="4" fontId="5" fillId="4" borderId="9" xfId="0" applyNumberFormat="1" applyFont="1" applyFill="1" applyBorder="1" applyAlignment="1">
      <alignment vertical="center"/>
    </xf>
    <xf numFmtId="3" fontId="5" fillId="5" borderId="9" xfId="0" applyNumberFormat="1" applyFont="1" applyFill="1" applyBorder="1" applyAlignment="1">
      <alignment vertical="center"/>
    </xf>
    <xf numFmtId="4" fontId="5" fillId="5" borderId="9" xfId="0" applyNumberFormat="1" applyFont="1" applyFill="1" applyBorder="1" applyAlignment="1">
      <alignment vertical="center"/>
    </xf>
    <xf numFmtId="3" fontId="0" fillId="6" borderId="9" xfId="0" applyNumberFormat="1" applyFill="1" applyBorder="1" applyAlignment="1">
      <alignment vertical="center"/>
    </xf>
    <xf numFmtId="4" fontId="0" fillId="6" borderId="9" xfId="0" applyNumberFormat="1" applyFill="1" applyBorder="1" applyAlignment="1">
      <alignment vertical="center"/>
    </xf>
    <xf numFmtId="3" fontId="0" fillId="7" borderId="9" xfId="0" applyNumberFormat="1" applyFill="1" applyBorder="1" applyAlignment="1">
      <alignment vertical="center"/>
    </xf>
    <xf numFmtId="4" fontId="0" fillId="7" borderId="9" xfId="0" applyNumberFormat="1" applyFill="1" applyBorder="1" applyAlignment="1">
      <alignment vertical="center"/>
    </xf>
    <xf numFmtId="167" fontId="0" fillId="8" borderId="9" xfId="1" applyNumberFormat="1" applyFont="1" applyFill="1" applyBorder="1" applyAlignment="1">
      <alignment vertical="center"/>
    </xf>
    <xf numFmtId="43" fontId="0" fillId="8" borderId="9" xfId="1" applyFont="1" applyFill="1" applyBorder="1" applyAlignment="1">
      <alignment vertical="center"/>
    </xf>
    <xf numFmtId="3" fontId="0" fillId="9" borderId="9" xfId="0" applyNumberFormat="1" applyFill="1" applyBorder="1" applyAlignment="1">
      <alignment horizontal="center" vertical="center"/>
    </xf>
    <xf numFmtId="4" fontId="0" fillId="9" borderId="9" xfId="0" applyNumberFormat="1" applyFill="1" applyBorder="1" applyAlignment="1">
      <alignment horizontal="center" vertical="center"/>
    </xf>
    <xf numFmtId="9" fontId="0" fillId="2" borderId="9" xfId="3" applyFont="1" applyFill="1" applyBorder="1" applyAlignment="1">
      <alignment horizontal="center"/>
    </xf>
    <xf numFmtId="2" fontId="0" fillId="2" borderId="9" xfId="2" applyNumberFormat="1" applyFont="1" applyFill="1" applyBorder="1" applyAlignment="1">
      <alignment horizontal="right" vertical="center" indent="1"/>
    </xf>
    <xf numFmtId="5" fontId="0" fillId="2" borderId="9" xfId="2" applyNumberFormat="1" applyFont="1" applyFill="1" applyBorder="1" applyAlignment="1">
      <alignment horizontal="right" vertical="center"/>
    </xf>
    <xf numFmtId="168" fontId="0" fillId="13" borderId="9" xfId="2" applyNumberFormat="1" applyFont="1" applyFill="1" applyBorder="1" applyAlignment="1">
      <alignment horizontal="center" vertical="center"/>
    </xf>
    <xf numFmtId="166" fontId="0" fillId="4" borderId="9" xfId="2" applyNumberFormat="1" applyFont="1" applyFill="1" applyBorder="1" applyAlignment="1">
      <alignment vertical="center"/>
    </xf>
    <xf numFmtId="2" fontId="0" fillId="4" borderId="9" xfId="2" applyNumberFormat="1" applyFont="1" applyFill="1" applyBorder="1" applyAlignment="1">
      <alignment horizontal="center" vertical="center"/>
    </xf>
    <xf numFmtId="44" fontId="0" fillId="12" borderId="9" xfId="0" applyNumberFormat="1" applyFill="1" applyBorder="1" applyAlignment="1">
      <alignment vertical="center"/>
    </xf>
    <xf numFmtId="44" fontId="2" fillId="12" borderId="9" xfId="2" applyFont="1" applyFill="1" applyBorder="1" applyAlignment="1">
      <alignment vertical="center"/>
    </xf>
    <xf numFmtId="44" fontId="0" fillId="0" borderId="9" xfId="0" applyNumberFormat="1" applyBorder="1" applyAlignment="1">
      <alignment vertical="center"/>
    </xf>
    <xf numFmtId="0" fontId="0" fillId="0" borderId="22" xfId="0" applyBorder="1"/>
    <xf numFmtId="166" fontId="1" fillId="0" borderId="0" xfId="4" applyNumberFormat="1"/>
    <xf numFmtId="9" fontId="0" fillId="2" borderId="10" xfId="3" applyFont="1" applyFill="1" applyBorder="1" applyAlignment="1">
      <alignment horizontal="center"/>
    </xf>
    <xf numFmtId="166" fontId="2" fillId="0" borderId="9" xfId="2" applyNumberFormat="1" applyFont="1" applyFill="1" applyBorder="1" applyAlignment="1">
      <alignment vertical="center"/>
    </xf>
    <xf numFmtId="44" fontId="0" fillId="0" borderId="23" xfId="0" applyNumberFormat="1" applyBorder="1" applyAlignment="1">
      <alignment vertical="center"/>
    </xf>
    <xf numFmtId="166" fontId="2" fillId="13" borderId="11" xfId="2" applyNumberFormat="1" applyFont="1" applyFill="1" applyBorder="1"/>
    <xf numFmtId="166" fontId="2" fillId="15" borderId="8" xfId="2" applyNumberFormat="1" applyFont="1" applyFill="1" applyBorder="1" applyAlignment="1">
      <alignment vertical="center"/>
    </xf>
    <xf numFmtId="164" fontId="2" fillId="0" borderId="0" xfId="4" applyNumberFormat="1" applyFont="1" applyAlignment="1">
      <alignment horizontal="center" vertical="center"/>
    </xf>
    <xf numFmtId="44" fontId="1" fillId="0" borderId="0" xfId="2"/>
    <xf numFmtId="164" fontId="16" fillId="0" borderId="0" xfId="4" applyNumberFormat="1" applyFont="1" applyAlignment="1">
      <alignment wrapText="1"/>
    </xf>
    <xf numFmtId="166" fontId="16" fillId="0" borderId="0" xfId="2" applyNumberFormat="1" applyFont="1"/>
    <xf numFmtId="0" fontId="16" fillId="0" borderId="0" xfId="4" applyFont="1"/>
    <xf numFmtId="0" fontId="10" fillId="0" borderId="0" xfId="4" applyFont="1" applyAlignment="1">
      <alignment horizontal="left" vertical="center" indent="1"/>
    </xf>
    <xf numFmtId="5" fontId="10" fillId="0" borderId="0" xfId="4" applyNumberFormat="1" applyFont="1" applyAlignment="1">
      <alignment vertical="center"/>
    </xf>
    <xf numFmtId="0" fontId="18" fillId="0" borderId="0" xfId="4" applyFont="1"/>
    <xf numFmtId="42" fontId="0" fillId="0" borderId="0" xfId="0" applyNumberFormat="1"/>
    <xf numFmtId="164" fontId="18" fillId="0" borderId="0" xfId="4" applyNumberFormat="1" applyFont="1"/>
    <xf numFmtId="44" fontId="0" fillId="12" borderId="16" xfId="0" applyNumberFormat="1" applyFill="1" applyBorder="1" applyAlignment="1">
      <alignment vertical="center"/>
    </xf>
    <xf numFmtId="166" fontId="2" fillId="0" borderId="24" xfId="2" applyNumberFormat="1" applyFont="1" applyFill="1" applyBorder="1"/>
    <xf numFmtId="166" fontId="2" fillId="0" borderId="23" xfId="2" applyNumberFormat="1" applyFont="1" applyFill="1" applyBorder="1"/>
    <xf numFmtId="166" fontId="6" fillId="0" borderId="25" xfId="2" applyNumberFormat="1" applyFont="1" applyFill="1" applyBorder="1" applyAlignment="1">
      <alignment vertical="center"/>
    </xf>
    <xf numFmtId="166" fontId="7" fillId="0" borderId="26" xfId="0" applyNumberFormat="1" applyFont="1" applyBorder="1" applyAlignment="1">
      <alignment vertical="center"/>
    </xf>
    <xf numFmtId="166" fontId="7" fillId="0" borderId="24" xfId="2" applyNumberFormat="1" applyFont="1" applyFill="1" applyBorder="1"/>
    <xf numFmtId="166" fontId="7" fillId="0" borderId="13" xfId="0" applyNumberFormat="1" applyFont="1" applyBorder="1"/>
    <xf numFmtId="166" fontId="7" fillId="0" borderId="27" xfId="2" applyNumberFormat="1" applyFont="1" applyFill="1" applyBorder="1" applyAlignment="1">
      <alignment vertical="center"/>
    </xf>
    <xf numFmtId="166" fontId="7" fillId="0" borderId="28" xfId="0" applyNumberFormat="1" applyFont="1" applyBorder="1" applyAlignment="1">
      <alignment vertical="center"/>
    </xf>
    <xf numFmtId="166" fontId="7" fillId="0" borderId="29" xfId="2" applyNumberFormat="1" applyFont="1" applyFill="1" applyBorder="1" applyAlignment="1">
      <alignment vertical="center"/>
    </xf>
    <xf numFmtId="166" fontId="7" fillId="0" borderId="15" xfId="0" applyNumberFormat="1" applyFont="1" applyBorder="1" applyAlignment="1">
      <alignment vertical="center"/>
    </xf>
    <xf numFmtId="42" fontId="1" fillId="0" borderId="0" xfId="4" applyNumberFormat="1"/>
    <xf numFmtId="0" fontId="2" fillId="9" borderId="7" xfId="0" applyFont="1" applyFill="1" applyBorder="1" applyAlignment="1">
      <alignment horizontal="center" wrapText="1"/>
    </xf>
    <xf numFmtId="0" fontId="2" fillId="9" borderId="7" xfId="0" applyFont="1" applyFill="1" applyBorder="1" applyAlignment="1">
      <alignment horizontal="center"/>
    </xf>
    <xf numFmtId="0" fontId="2" fillId="6" borderId="7" xfId="0" applyFont="1" applyFill="1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2" fillId="7" borderId="7" xfId="0" applyFont="1" applyFill="1" applyBorder="1" applyAlignment="1">
      <alignment horizontal="center" wrapText="1"/>
    </xf>
    <xf numFmtId="0" fontId="2" fillId="3" borderId="12" xfId="0" applyFont="1" applyFill="1" applyBorder="1" applyAlignment="1">
      <alignment horizontal="center" wrapText="1"/>
    </xf>
    <xf numFmtId="0" fontId="2" fillId="4" borderId="7" xfId="0" applyFont="1" applyFill="1" applyBorder="1" applyAlignment="1">
      <alignment horizontal="center" wrapText="1"/>
    </xf>
    <xf numFmtId="0" fontId="2" fillId="0" borderId="7" xfId="0" applyFont="1" applyBorder="1" applyAlignment="1">
      <alignment horizontal="right" wrapText="1"/>
    </xf>
    <xf numFmtId="0" fontId="0" fillId="0" borderId="10" xfId="0" applyBorder="1" applyAlignment="1">
      <alignment wrapText="1"/>
    </xf>
    <xf numFmtId="0" fontId="2" fillId="5" borderId="7" xfId="0" applyFont="1" applyFill="1" applyBorder="1" applyAlignment="1">
      <alignment horizontal="center" wrapText="1"/>
    </xf>
    <xf numFmtId="0" fontId="2" fillId="8" borderId="7" xfId="0" applyFont="1" applyFill="1" applyBorder="1" applyAlignment="1">
      <alignment horizontal="center" wrapText="1"/>
    </xf>
    <xf numFmtId="0" fontId="2" fillId="8" borderId="7" xfId="0" applyFont="1" applyFill="1" applyBorder="1" applyAlignment="1">
      <alignment horizontal="center"/>
    </xf>
    <xf numFmtId="0" fontId="20" fillId="0" borderId="7" xfId="4" applyFont="1" applyBorder="1" applyAlignment="1">
      <alignment vertical="center"/>
    </xf>
    <xf numFmtId="164" fontId="20" fillId="0" borderId="7" xfId="4" applyNumberFormat="1" applyFont="1" applyBorder="1"/>
    <xf numFmtId="0" fontId="20" fillId="0" borderId="7" xfId="4" applyFont="1" applyBorder="1"/>
    <xf numFmtId="172" fontId="20" fillId="0" borderId="7" xfId="4" applyNumberFormat="1" applyFont="1" applyBorder="1"/>
    <xf numFmtId="164" fontId="17" fillId="0" borderId="7" xfId="4" applyNumberFormat="1" applyFont="1" applyBorder="1" applyAlignment="1">
      <alignment horizontal="center" vertical="center" wrapText="1"/>
    </xf>
    <xf numFmtId="0" fontId="20" fillId="0" borderId="7" xfId="4" applyNumberFormat="1" applyFont="1" applyBorder="1"/>
    <xf numFmtId="6" fontId="20" fillId="0" borderId="7" xfId="4" applyNumberFormat="1" applyFont="1" applyBorder="1"/>
    <xf numFmtId="0" fontId="20" fillId="0" borderId="7" xfId="4" applyNumberFormat="1" applyFont="1" applyBorder="1" applyAlignment="1">
      <alignment horizontal="left"/>
    </xf>
    <xf numFmtId="5" fontId="21" fillId="0" borderId="7" xfId="4" applyNumberFormat="1" applyFont="1" applyBorder="1" applyAlignment="1">
      <alignment vertical="center"/>
    </xf>
    <xf numFmtId="0" fontId="21" fillId="0" borderId="7" xfId="4" applyFont="1" applyBorder="1" applyAlignment="1">
      <alignment horizontal="left" vertical="center" indent="1"/>
    </xf>
    <xf numFmtId="0" fontId="20" fillId="0" borderId="7" xfId="4" applyFont="1" applyBorder="1" applyAlignment="1">
      <alignment horizontal="left" vertical="center" indent="2"/>
    </xf>
    <xf numFmtId="5" fontId="20" fillId="0" borderId="7" xfId="2" applyNumberFormat="1" applyFont="1" applyBorder="1" applyAlignment="1">
      <alignment vertical="center"/>
    </xf>
    <xf numFmtId="0" fontId="22" fillId="0" borderId="7" xfId="4" applyFont="1" applyBorder="1" applyAlignment="1">
      <alignment horizontal="left" vertical="center" wrapText="1" indent="2"/>
    </xf>
    <xf numFmtId="5" fontId="20" fillId="0" borderId="7" xfId="2" applyNumberFormat="1" applyFont="1" applyFill="1" applyBorder="1" applyAlignment="1">
      <alignment vertical="center"/>
    </xf>
    <xf numFmtId="0" fontId="24" fillId="17" borderId="7" xfId="4" applyFont="1" applyFill="1" applyBorder="1" applyAlignment="1">
      <alignment horizontal="left" vertical="center"/>
    </xf>
    <xf numFmtId="5" fontId="24" fillId="17" borderId="7" xfId="4" applyNumberFormat="1" applyFont="1" applyFill="1" applyBorder="1" applyAlignment="1">
      <alignment vertical="center"/>
    </xf>
    <xf numFmtId="0" fontId="21" fillId="16" borderId="7" xfId="4" applyFont="1" applyFill="1" applyBorder="1" applyAlignment="1">
      <alignment horizontal="left" vertical="center" indent="1"/>
    </xf>
    <xf numFmtId="5" fontId="11" fillId="16" borderId="7" xfId="4" applyNumberFormat="1" applyFont="1" applyFill="1" applyBorder="1" applyAlignment="1">
      <alignment vertical="center"/>
    </xf>
    <xf numFmtId="0" fontId="20" fillId="18" borderId="7" xfId="4" applyFont="1" applyFill="1" applyBorder="1" applyAlignment="1">
      <alignment horizontal="left" vertical="center"/>
    </xf>
    <xf numFmtId="5" fontId="20" fillId="18" borderId="7" xfId="4" applyNumberFormat="1" applyFont="1" applyFill="1" applyBorder="1" applyAlignment="1">
      <alignment vertical="center"/>
    </xf>
    <xf numFmtId="0" fontId="20" fillId="19" borderId="7" xfId="4" applyFont="1" applyFill="1" applyBorder="1" applyAlignment="1">
      <alignment horizontal="left" vertical="center" indent="2"/>
    </xf>
    <xf numFmtId="5" fontId="20" fillId="19" borderId="7" xfId="2" applyNumberFormat="1" applyFont="1" applyFill="1" applyBorder="1" applyAlignment="1">
      <alignment vertical="center"/>
    </xf>
    <xf numFmtId="0" fontId="22" fillId="19" borderId="7" xfId="4" applyFont="1" applyFill="1" applyBorder="1" applyAlignment="1">
      <alignment horizontal="left" vertical="center" wrapText="1" indent="2"/>
    </xf>
    <xf numFmtId="44" fontId="23" fillId="19" borderId="7" xfId="4" applyNumberFormat="1" applyFont="1" applyFill="1" applyBorder="1" applyAlignment="1">
      <alignment vertical="center"/>
    </xf>
    <xf numFmtId="0" fontId="24" fillId="17" borderId="7" xfId="4" applyFont="1" applyFill="1" applyBorder="1" applyAlignment="1">
      <alignment vertical="center"/>
    </xf>
    <xf numFmtId="164" fontId="24" fillId="17" borderId="7" xfId="4" applyNumberFormat="1" applyFont="1" applyFill="1" applyBorder="1" applyAlignment="1">
      <alignment vertical="center"/>
    </xf>
    <xf numFmtId="0" fontId="20" fillId="19" borderId="7" xfId="4" applyNumberFormat="1" applyFont="1" applyFill="1" applyBorder="1"/>
    <xf numFmtId="164" fontId="20" fillId="19" borderId="7" xfId="2" applyNumberFormat="1" applyFont="1" applyFill="1" applyBorder="1"/>
    <xf numFmtId="0" fontId="20" fillId="19" borderId="7" xfId="4" applyNumberFormat="1" applyFont="1" applyFill="1" applyBorder="1" applyAlignment="1">
      <alignment horizontal="left"/>
    </xf>
    <xf numFmtId="164" fontId="20" fillId="19" borderId="7" xfId="4" applyNumberFormat="1" applyFont="1" applyFill="1" applyBorder="1"/>
    <xf numFmtId="0" fontId="24" fillId="17" borderId="7" xfId="4" applyFont="1" applyFill="1" applyBorder="1"/>
    <xf numFmtId="164" fontId="24" fillId="17" borderId="7" xfId="4" applyNumberFormat="1" applyFont="1" applyFill="1" applyBorder="1"/>
    <xf numFmtId="0" fontId="20" fillId="19" borderId="7" xfId="4" applyFont="1" applyFill="1" applyBorder="1"/>
    <xf numFmtId="0" fontId="19" fillId="16" borderId="30" xfId="4" applyFont="1" applyFill="1" applyBorder="1"/>
    <xf numFmtId="5" fontId="19" fillId="16" borderId="6" xfId="4" applyNumberFormat="1" applyFont="1" applyFill="1" applyBorder="1"/>
    <xf numFmtId="42" fontId="25" fillId="8" borderId="7" xfId="0" applyNumberFormat="1" applyFont="1" applyFill="1" applyBorder="1" applyAlignment="1">
      <alignment vertical="center"/>
    </xf>
    <xf numFmtId="42" fontId="26" fillId="0" borderId="7" xfId="0" applyNumberFormat="1" applyFont="1" applyBorder="1" applyAlignment="1">
      <alignment vertical="center"/>
    </xf>
    <xf numFmtId="0" fontId="26" fillId="17" borderId="7" xfId="0" applyFont="1" applyFill="1" applyBorder="1"/>
    <xf numFmtId="0" fontId="27" fillId="17" borderId="7" xfId="0" applyFont="1" applyFill="1" applyBorder="1" applyAlignment="1">
      <alignment horizontal="center" vertical="center" wrapText="1"/>
    </xf>
    <xf numFmtId="0" fontId="29" fillId="16" borderId="7" xfId="0" applyFont="1" applyFill="1" applyBorder="1" applyAlignment="1">
      <alignment horizontal="center" vertical="center"/>
    </xf>
    <xf numFmtId="0" fontId="29" fillId="16" borderId="7" xfId="0" applyFont="1" applyFill="1" applyBorder="1" applyAlignment="1">
      <alignment horizontal="center" vertical="center" wrapText="1"/>
    </xf>
    <xf numFmtId="3" fontId="27" fillId="0" borderId="7" xfId="0" applyNumberFormat="1" applyFont="1" applyBorder="1"/>
    <xf numFmtId="3" fontId="27" fillId="0" borderId="7" xfId="0" applyNumberFormat="1" applyFont="1" applyBorder="1" applyAlignment="1">
      <alignment vertical="center"/>
    </xf>
    <xf numFmtId="3" fontId="25" fillId="0" borderId="7" xfId="0" applyNumberFormat="1" applyFont="1" applyBorder="1" applyAlignment="1">
      <alignment horizontal="right" vertical="center"/>
    </xf>
    <xf numFmtId="164" fontId="27" fillId="0" borderId="7" xfId="2" applyNumberFormat="1" applyFont="1" applyFill="1" applyBorder="1"/>
    <xf numFmtId="164" fontId="27" fillId="0" borderId="7" xfId="2" applyNumberFormat="1" applyFont="1" applyFill="1" applyBorder="1" applyAlignment="1">
      <alignment horizontal="right" vertical="center"/>
    </xf>
    <xf numFmtId="164" fontId="25" fillId="0" borderId="7" xfId="2" applyNumberFormat="1" applyFont="1" applyFill="1" applyBorder="1" applyAlignment="1">
      <alignment horizontal="right" vertical="center"/>
    </xf>
    <xf numFmtId="0" fontId="36" fillId="16" borderId="7" xfId="0" applyFont="1" applyFill="1" applyBorder="1" applyAlignment="1">
      <alignment horizontal="left" vertical="center" wrapText="1"/>
    </xf>
    <xf numFmtId="0" fontId="35" fillId="18" borderId="7" xfId="0" applyFont="1" applyFill="1" applyBorder="1" applyAlignment="1">
      <alignment horizontal="left" vertical="center" wrapText="1"/>
    </xf>
    <xf numFmtId="0" fontId="40" fillId="0" borderId="0" xfId="0" applyFont="1"/>
    <xf numFmtId="8" fontId="37" fillId="20" borderId="7" xfId="0" applyNumberFormat="1" applyFont="1" applyFill="1" applyBorder="1"/>
    <xf numFmtId="8" fontId="37" fillId="18" borderId="7" xfId="0" applyNumberFormat="1" applyFont="1" applyFill="1" applyBorder="1"/>
    <xf numFmtId="8" fontId="37" fillId="16" borderId="7" xfId="0" applyNumberFormat="1" applyFont="1" applyFill="1" applyBorder="1"/>
    <xf numFmtId="8" fontId="37" fillId="0" borderId="7" xfId="0" applyNumberFormat="1" applyFont="1" applyFill="1" applyBorder="1"/>
    <xf numFmtId="8" fontId="37" fillId="0" borderId="7" xfId="0" applyNumberFormat="1" applyFont="1" applyFill="1" applyBorder="1" applyAlignment="1">
      <alignment vertical="center"/>
    </xf>
    <xf numFmtId="0" fontId="33" fillId="0" borderId="0" xfId="0" applyFont="1"/>
    <xf numFmtId="0" fontId="40" fillId="18" borderId="0" xfId="0" applyFont="1" applyFill="1"/>
    <xf numFmtId="0" fontId="0" fillId="18" borderId="0" xfId="0" applyFill="1"/>
    <xf numFmtId="0" fontId="31" fillId="18" borderId="0" xfId="0" applyFont="1" applyFill="1" applyBorder="1" applyAlignment="1">
      <alignment horizontal="center" vertical="center" wrapText="1"/>
    </xf>
    <xf numFmtId="0" fontId="37" fillId="18" borderId="0" xfId="0" applyFont="1" applyFill="1" applyBorder="1" applyAlignment="1">
      <alignment horizontal="right" vertical="center" wrapText="1"/>
    </xf>
    <xf numFmtId="0" fontId="31" fillId="18" borderId="0" xfId="0" applyFont="1" applyFill="1" applyBorder="1" applyAlignment="1">
      <alignment horizontal="right" vertical="center" wrapText="1"/>
    </xf>
    <xf numFmtId="0" fontId="40" fillId="18" borderId="0" xfId="0" applyFont="1" applyFill="1" applyBorder="1"/>
    <xf numFmtId="0" fontId="30" fillId="17" borderId="7" xfId="0" applyFont="1" applyFill="1" applyBorder="1" applyAlignment="1">
      <alignment horizontal="left" vertical="center" wrapText="1"/>
    </xf>
    <xf numFmtId="0" fontId="31" fillId="17" borderId="7" xfId="0" applyFont="1" applyFill="1" applyBorder="1" applyAlignment="1">
      <alignment horizontal="center" vertical="center" wrapText="1"/>
    </xf>
    <xf numFmtId="164" fontId="37" fillId="16" borderId="7" xfId="0" applyNumberFormat="1" applyFont="1" applyFill="1" applyBorder="1" applyAlignment="1">
      <alignment horizontal="right" vertical="center" wrapText="1"/>
    </xf>
    <xf numFmtId="0" fontId="37" fillId="16" borderId="7" xfId="0" applyFont="1" applyFill="1" applyBorder="1" applyAlignment="1">
      <alignment horizontal="right" vertical="center" wrapText="1"/>
    </xf>
    <xf numFmtId="164" fontId="37" fillId="18" borderId="7" xfId="0" applyNumberFormat="1" applyFont="1" applyFill="1" applyBorder="1" applyAlignment="1">
      <alignment horizontal="right" vertical="center" wrapText="1"/>
    </xf>
    <xf numFmtId="0" fontId="37" fillId="18" borderId="7" xfId="0" applyFont="1" applyFill="1" applyBorder="1" applyAlignment="1">
      <alignment horizontal="right" vertical="center" wrapText="1"/>
    </xf>
    <xf numFmtId="164" fontId="37" fillId="18" borderId="7" xfId="0" applyNumberFormat="1" applyFont="1" applyFill="1" applyBorder="1" applyAlignment="1">
      <alignment horizontal="center" vertical="center" wrapText="1"/>
    </xf>
    <xf numFmtId="0" fontId="36" fillId="0" borderId="7" xfId="0" applyFont="1" applyFill="1" applyBorder="1" applyAlignment="1">
      <alignment horizontal="left" vertical="center" wrapText="1"/>
    </xf>
    <xf numFmtId="164" fontId="37" fillId="0" borderId="7" xfId="0" applyNumberFormat="1" applyFont="1" applyFill="1" applyBorder="1" applyAlignment="1">
      <alignment horizontal="right" vertical="center" wrapText="1"/>
    </xf>
    <xf numFmtId="0" fontId="37" fillId="0" borderId="7" xfId="0" applyFont="1" applyFill="1" applyBorder="1" applyAlignment="1">
      <alignment horizontal="right" vertical="center" wrapText="1"/>
    </xf>
    <xf numFmtId="0" fontId="31" fillId="17" borderId="7" xfId="0" applyFont="1" applyFill="1" applyBorder="1" applyAlignment="1">
      <alignment horizontal="right" vertical="center" wrapText="1"/>
    </xf>
    <xf numFmtId="164" fontId="31" fillId="17" borderId="7" xfId="0" applyNumberFormat="1" applyFont="1" applyFill="1" applyBorder="1" applyAlignment="1">
      <alignment horizontal="right" vertical="center" wrapText="1"/>
    </xf>
    <xf numFmtId="6" fontId="37" fillId="16" borderId="7" xfId="0" applyNumberFormat="1" applyFont="1" applyFill="1" applyBorder="1" applyAlignment="1">
      <alignment horizontal="right" vertical="center" wrapText="1"/>
    </xf>
    <xf numFmtId="172" fontId="37" fillId="0" borderId="7" xfId="0" applyNumberFormat="1" applyFont="1" applyFill="1" applyBorder="1" applyAlignment="1">
      <alignment horizontal="right" vertical="center" wrapText="1"/>
    </xf>
    <xf numFmtId="164" fontId="37" fillId="18" borderId="0" xfId="0" applyNumberFormat="1" applyFont="1" applyFill="1" applyBorder="1" applyAlignment="1">
      <alignment horizontal="right" vertical="center" wrapText="1"/>
    </xf>
    <xf numFmtId="6" fontId="37" fillId="18" borderId="0" xfId="0" applyNumberFormat="1" applyFont="1" applyFill="1" applyBorder="1" applyAlignment="1">
      <alignment horizontal="right" vertical="center" wrapText="1"/>
    </xf>
    <xf numFmtId="172" fontId="37" fillId="18" borderId="0" xfId="0" applyNumberFormat="1" applyFont="1" applyFill="1" applyBorder="1" applyAlignment="1">
      <alignment horizontal="right" vertical="center" wrapText="1"/>
    </xf>
    <xf numFmtId="0" fontId="0" fillId="18" borderId="0" xfId="0" applyFill="1" applyBorder="1"/>
    <xf numFmtId="0" fontId="38" fillId="18" borderId="0" xfId="0" applyFont="1" applyFill="1" applyBorder="1" applyAlignment="1">
      <alignment horizontal="center" vertical="center" wrapText="1"/>
    </xf>
    <xf numFmtId="164" fontId="37" fillId="16" borderId="7" xfId="0" applyNumberFormat="1" applyFont="1" applyFill="1" applyBorder="1" applyAlignment="1">
      <alignment horizontal="center" vertical="center" wrapText="1"/>
    </xf>
    <xf numFmtId="0" fontId="37" fillId="16" borderId="0" xfId="0" applyFont="1" applyFill="1" applyBorder="1" applyAlignment="1">
      <alignment horizontal="right" vertical="center" wrapText="1"/>
    </xf>
    <xf numFmtId="172" fontId="37" fillId="16" borderId="7" xfId="0" applyNumberFormat="1" applyFont="1" applyFill="1" applyBorder="1" applyAlignment="1">
      <alignment horizontal="right" vertical="center" wrapText="1"/>
    </xf>
    <xf numFmtId="172" fontId="37" fillId="16" borderId="0" xfId="0" applyNumberFormat="1" applyFont="1" applyFill="1" applyBorder="1" applyAlignment="1">
      <alignment horizontal="right" vertical="center" wrapText="1"/>
    </xf>
    <xf numFmtId="0" fontId="37" fillId="16" borderId="7" xfId="0" applyFont="1" applyFill="1" applyBorder="1" applyAlignment="1">
      <alignment horizontal="center" vertical="center" wrapText="1"/>
    </xf>
    <xf numFmtId="0" fontId="37" fillId="16" borderId="0" xfId="0" applyFont="1" applyFill="1" applyBorder="1" applyAlignment="1">
      <alignment horizontal="center" vertical="center" wrapText="1"/>
    </xf>
    <xf numFmtId="6" fontId="37" fillId="16" borderId="7" xfId="0" applyNumberFormat="1" applyFont="1" applyFill="1" applyBorder="1"/>
  </cellXfs>
  <cellStyles count="5">
    <cellStyle name="Comma" xfId="1" builtinId="3"/>
    <cellStyle name="Currency" xfId="2" builtinId="4"/>
    <cellStyle name="Normal" xfId="0" builtinId="0"/>
    <cellStyle name="Normal 2" xfId="4" xr:uid="{00000000-0005-0000-0000-000003000000}"/>
    <cellStyle name="Percent" xfId="3" builtinId="5"/>
  </cellStyles>
  <dxfs count="0"/>
  <tableStyles count="0" defaultTableStyle="TableStyleMedium9" defaultPivotStyle="PivotStyleLight16"/>
  <colors>
    <mruColors>
      <color rgb="FFFFCA63"/>
      <color rgb="FF19567B"/>
      <color rgb="FFFAC090"/>
      <color rgb="FF0000FC"/>
      <color rgb="FFFFCC99"/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42</xdr:col>
          <xdr:colOff>30480</xdr:colOff>
          <xdr:row>27</xdr:row>
          <xdr:rowOff>160020</xdr:rowOff>
        </xdr:from>
        <xdr:to>
          <xdr:col>42</xdr:col>
          <xdr:colOff>30480</xdr:colOff>
          <xdr:row>27</xdr:row>
          <xdr:rowOff>160020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1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6" Type="http://schemas.openxmlformats.org/officeDocument/2006/relationships/comments" Target="../comments1.xml"/><Relationship Id="rId5" Type="http://schemas.openxmlformats.org/officeDocument/2006/relationships/image" Target="../media/image1.png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4"/>
  <sheetViews>
    <sheetView tabSelected="1" zoomScale="120" zoomScaleNormal="120" workbookViewId="0">
      <selection activeCell="D8" sqref="D8"/>
    </sheetView>
  </sheetViews>
  <sheetFormatPr defaultColWidth="9.109375" defaultRowHeight="13.2" x14ac:dyDescent="0.25"/>
  <cols>
    <col min="1" max="1" width="86.6640625" style="134" bestFit="1" customWidth="1"/>
    <col min="2" max="2" width="26.6640625" style="134" bestFit="1" customWidth="1"/>
    <col min="3" max="3" width="17" style="166" customWidth="1"/>
    <col min="4" max="4" width="7.44140625" style="134" customWidth="1"/>
    <col min="5" max="10" width="9.109375" style="134"/>
    <col min="11" max="11" width="12.44140625" style="134" bestFit="1" customWidth="1"/>
    <col min="12" max="16384" width="9.109375" style="134"/>
  </cols>
  <sheetData>
    <row r="1" spans="1:11" s="248" customFormat="1" ht="28.2" x14ac:dyDescent="0.4">
      <c r="A1" s="292" t="s">
        <v>75</v>
      </c>
      <c r="B1" s="293">
        <v>8833695</v>
      </c>
      <c r="C1" s="246"/>
      <c r="D1" s="247"/>
    </row>
    <row r="2" spans="1:11" ht="24.6" x14ac:dyDescent="0.25">
      <c r="A2" s="294" t="s">
        <v>74</v>
      </c>
      <c r="B2" s="295"/>
      <c r="D2" s="168"/>
      <c r="K2" s="169"/>
    </row>
    <row r="3" spans="1:11" ht="24.6" x14ac:dyDescent="0.25">
      <c r="A3" s="296" t="s">
        <v>101</v>
      </c>
      <c r="B3" s="297">
        <v>50000</v>
      </c>
      <c r="D3" s="168"/>
      <c r="K3" s="169"/>
    </row>
    <row r="4" spans="1:11" ht="24.6" x14ac:dyDescent="0.25">
      <c r="A4" s="298" t="s">
        <v>102</v>
      </c>
      <c r="B4" s="299">
        <v>150000</v>
      </c>
      <c r="D4" s="168"/>
    </row>
    <row r="5" spans="1:11" ht="22.8" customHeight="1" x14ac:dyDescent="0.25">
      <c r="A5" s="288" t="s">
        <v>84</v>
      </c>
      <c r="B5" s="289">
        <v>1500000</v>
      </c>
      <c r="D5" s="168"/>
    </row>
    <row r="6" spans="1:11" ht="24.6" x14ac:dyDescent="0.25">
      <c r="A6" s="300" t="s">
        <v>66</v>
      </c>
      <c r="B6" s="299">
        <v>441685</v>
      </c>
      <c r="D6" s="168"/>
    </row>
    <row r="7" spans="1:11" ht="24.6" x14ac:dyDescent="0.25">
      <c r="A7" s="290" t="s">
        <v>88</v>
      </c>
      <c r="B7" s="289">
        <v>441685</v>
      </c>
      <c r="C7" s="244"/>
      <c r="D7" s="168"/>
    </row>
    <row r="8" spans="1:11" ht="24.6" x14ac:dyDescent="0.25">
      <c r="A8" s="298" t="s">
        <v>67</v>
      </c>
      <c r="B8" s="299">
        <v>441685</v>
      </c>
      <c r="D8" s="168"/>
    </row>
    <row r="9" spans="1:11" ht="24.6" x14ac:dyDescent="0.25">
      <c r="A9" s="288" t="s">
        <v>71</v>
      </c>
      <c r="B9" s="289">
        <v>441685</v>
      </c>
      <c r="D9" s="168"/>
    </row>
    <row r="10" spans="1:11" ht="24.6" x14ac:dyDescent="0.25">
      <c r="A10" s="298" t="s">
        <v>73</v>
      </c>
      <c r="B10" s="299">
        <v>883370</v>
      </c>
      <c r="D10" s="168"/>
    </row>
    <row r="11" spans="1:11" ht="24.6" x14ac:dyDescent="0.25">
      <c r="A11" s="288" t="s">
        <v>68</v>
      </c>
      <c r="B11" s="289">
        <v>441685</v>
      </c>
      <c r="D11" s="168"/>
    </row>
    <row r="12" spans="1:11" ht="24.6" x14ac:dyDescent="0.25">
      <c r="A12" s="298" t="s">
        <v>72</v>
      </c>
      <c r="B12" s="299">
        <v>90000</v>
      </c>
      <c r="D12" s="168"/>
    </row>
    <row r="13" spans="1:11" ht="24.6" x14ac:dyDescent="0.25">
      <c r="A13" s="290" t="s">
        <v>64</v>
      </c>
      <c r="B13" s="291">
        <v>100000</v>
      </c>
      <c r="C13" s="134"/>
      <c r="D13" s="265"/>
    </row>
    <row r="14" spans="1:11" ht="25.2" x14ac:dyDescent="0.25">
      <c r="A14" s="301" t="s">
        <v>99</v>
      </c>
      <c r="B14" s="299">
        <v>50000</v>
      </c>
      <c r="D14" s="238"/>
      <c r="E14"/>
      <c r="F14"/>
    </row>
    <row r="15" spans="1:11" ht="24.6" x14ac:dyDescent="0.25">
      <c r="A15" s="287" t="s">
        <v>94</v>
      </c>
      <c r="B15" s="286">
        <f>SUM(B1-B3-B4-B5-B6-B7-B8-B9-B10-B11-B12-B13-B14)</f>
        <v>3801900</v>
      </c>
      <c r="D15" s="245"/>
    </row>
    <row r="16" spans="1:11" ht="15" customHeight="1" x14ac:dyDescent="0.25">
      <c r="A16" s="249"/>
      <c r="B16" s="250"/>
      <c r="D16" s="245"/>
    </row>
    <row r="17" spans="1:4" ht="28.2" x14ac:dyDescent="0.25">
      <c r="A17" s="302" t="s">
        <v>77</v>
      </c>
      <c r="B17" s="303">
        <f>SUM(B18:B23)</f>
        <v>8673732</v>
      </c>
      <c r="D17" s="168"/>
    </row>
    <row r="18" spans="1:4" ht="24.6" x14ac:dyDescent="0.4">
      <c r="A18" s="304" t="s">
        <v>85</v>
      </c>
      <c r="B18" s="305">
        <v>0</v>
      </c>
      <c r="D18" s="168"/>
    </row>
    <row r="19" spans="1:4" ht="24.6" x14ac:dyDescent="0.4">
      <c r="A19" s="283" t="s">
        <v>89</v>
      </c>
      <c r="B19" s="284">
        <v>5337914</v>
      </c>
    </row>
    <row r="20" spans="1:4" ht="24.6" x14ac:dyDescent="0.4">
      <c r="A20" s="306" t="s">
        <v>90</v>
      </c>
      <c r="B20" s="307">
        <v>1334478</v>
      </c>
    </row>
    <row r="21" spans="1:4" ht="24.6" x14ac:dyDescent="0.4">
      <c r="A21" s="285" t="s">
        <v>91</v>
      </c>
      <c r="B21" s="279">
        <v>471516</v>
      </c>
    </row>
    <row r="22" spans="1:4" ht="24.6" x14ac:dyDescent="0.4">
      <c r="A22" s="306" t="s">
        <v>92</v>
      </c>
      <c r="B22" s="307">
        <v>1089824</v>
      </c>
    </row>
    <row r="23" spans="1:4" ht="24.6" x14ac:dyDescent="0.4">
      <c r="A23" s="283" t="s">
        <v>93</v>
      </c>
      <c r="B23" s="279">
        <v>440000</v>
      </c>
    </row>
    <row r="24" spans="1:4" ht="15" x14ac:dyDescent="0.25">
      <c r="A24" s="251"/>
      <c r="B24" s="253"/>
    </row>
    <row r="25" spans="1:4" ht="28.2" x14ac:dyDescent="0.5">
      <c r="A25" s="308" t="s">
        <v>76</v>
      </c>
      <c r="B25" s="309">
        <v>18064700</v>
      </c>
    </row>
    <row r="26" spans="1:4" ht="24.6" x14ac:dyDescent="0.4">
      <c r="A26" s="278" t="s">
        <v>86</v>
      </c>
      <c r="B26" s="279">
        <v>9000000</v>
      </c>
      <c r="C26" s="282" t="s">
        <v>87</v>
      </c>
      <c r="D26" s="134">
        <v>8.1999999999999993</v>
      </c>
    </row>
    <row r="27" spans="1:4" ht="24.6" x14ac:dyDescent="0.4">
      <c r="A27" s="310" t="s">
        <v>97</v>
      </c>
      <c r="B27" s="307">
        <v>4000000</v>
      </c>
      <c r="C27" s="282"/>
    </row>
    <row r="28" spans="1:4" ht="24.6" x14ac:dyDescent="0.4">
      <c r="A28" s="280" t="s">
        <v>98</v>
      </c>
      <c r="B28" s="279">
        <v>2000000</v>
      </c>
      <c r="C28" s="282"/>
      <c r="D28" s="134">
        <v>1.4</v>
      </c>
    </row>
    <row r="29" spans="1:4" ht="24.6" x14ac:dyDescent="0.4">
      <c r="A29" s="310" t="s">
        <v>95</v>
      </c>
      <c r="B29" s="307">
        <v>2500000</v>
      </c>
      <c r="C29" s="282"/>
      <c r="D29" s="134">
        <v>2.2000000000000002</v>
      </c>
    </row>
    <row r="30" spans="1:4" ht="24.6" x14ac:dyDescent="0.4">
      <c r="A30" s="280" t="s">
        <v>96</v>
      </c>
      <c r="B30" s="281">
        <v>564700</v>
      </c>
      <c r="C30" s="282"/>
      <c r="D30" s="134">
        <v>0.4</v>
      </c>
    </row>
    <row r="31" spans="1:4" x14ac:dyDescent="0.25">
      <c r="B31" s="166"/>
    </row>
    <row r="33" spans="1:2" ht="13.8" thickBot="1" x14ac:dyDescent="0.3"/>
    <row r="34" spans="1:2" ht="28.8" thickBot="1" x14ac:dyDescent="0.55000000000000004">
      <c r="A34" s="311" t="s">
        <v>83</v>
      </c>
      <c r="B34" s="312">
        <f>SUM(B1+B17+B25)</f>
        <v>35572127</v>
      </c>
    </row>
  </sheetData>
  <mergeCells count="1">
    <mergeCell ref="C26:C30"/>
  </mergeCells>
  <printOptions gridLines="1"/>
  <pageMargins left="0.25" right="0.25" top="0.75" bottom="0.75" header="0.3" footer="0.3"/>
  <pageSetup scale="63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BM34"/>
  <sheetViews>
    <sheetView showGridLines="0" zoomScaleNormal="100" workbookViewId="0">
      <pane xSplit="1" ySplit="3" topLeftCell="B11" activePane="bottomRight" state="frozen"/>
      <selection pane="topRight" activeCell="C1" sqref="C1"/>
      <selection pane="bottomLeft" activeCell="A4" sqref="A4"/>
      <selection pane="bottomRight" activeCell="AT18" sqref="AT18"/>
    </sheetView>
  </sheetViews>
  <sheetFormatPr defaultColWidth="9.109375" defaultRowHeight="13.2" x14ac:dyDescent="0.25"/>
  <cols>
    <col min="1" max="1" width="18.77734375" bestFit="1" customWidth="1"/>
    <col min="2" max="2" width="26.77734375" bestFit="1" customWidth="1"/>
    <col min="3" max="3" width="7.109375" hidden="1" customWidth="1"/>
    <col min="4" max="4" width="6.109375" hidden="1" customWidth="1"/>
    <col min="5" max="9" width="5.88671875" hidden="1" customWidth="1"/>
    <col min="10" max="10" width="13.109375" hidden="1" customWidth="1"/>
    <col min="11" max="11" width="7.109375" hidden="1" customWidth="1"/>
    <col min="12" max="12" width="6.109375" hidden="1" customWidth="1"/>
    <col min="13" max="13" width="10.88671875" hidden="1" customWidth="1"/>
    <col min="14" max="14" width="10.109375" hidden="1" customWidth="1"/>
    <col min="15" max="15" width="6.109375" hidden="1" customWidth="1"/>
    <col min="16" max="16" width="10.109375" hidden="1" customWidth="1"/>
    <col min="17" max="17" width="6.109375" hidden="1" customWidth="1"/>
    <col min="18" max="18" width="10.109375" hidden="1" customWidth="1"/>
    <col min="19" max="19" width="6.109375" hidden="1" customWidth="1"/>
    <col min="20" max="20" width="10.109375" hidden="1" customWidth="1"/>
    <col min="21" max="21" width="6.109375" hidden="1" customWidth="1"/>
    <col min="22" max="22" width="10.109375" style="2" hidden="1" customWidth="1"/>
    <col min="23" max="23" width="6.109375" style="2" hidden="1" customWidth="1"/>
    <col min="24" max="24" width="10.88671875" style="18" hidden="1" customWidth="1"/>
    <col min="25" max="26" width="9.109375" hidden="1" customWidth="1"/>
    <col min="27" max="27" width="7.44140625" hidden="1" customWidth="1"/>
    <col min="28" max="28" width="10.88671875" hidden="1" customWidth="1"/>
    <col min="29" max="29" width="12.88671875" hidden="1" customWidth="1"/>
    <col min="30" max="30" width="7.88671875" style="20" hidden="1" customWidth="1"/>
    <col min="31" max="32" width="12.88671875" hidden="1" customWidth="1"/>
    <col min="33" max="33" width="6.109375" hidden="1" customWidth="1"/>
    <col min="34" max="34" width="12.88671875" hidden="1" customWidth="1"/>
    <col min="35" max="35" width="12.109375" hidden="1" customWidth="1"/>
    <col min="36" max="36" width="12.88671875" hidden="1" customWidth="1"/>
    <col min="37" max="37" width="12.109375" customWidth="1"/>
    <col min="38" max="38" width="16.109375" hidden="1" customWidth="1"/>
    <col min="39" max="39" width="21.88671875" hidden="1" customWidth="1"/>
    <col min="40" max="40" width="18.109375" hidden="1" customWidth="1"/>
    <col min="41" max="41" width="18.88671875" hidden="1" customWidth="1"/>
    <col min="42" max="42" width="19.109375" hidden="1" customWidth="1"/>
    <col min="43" max="43" width="5.88671875" customWidth="1"/>
    <col min="44" max="44" width="14.109375" hidden="1" customWidth="1"/>
    <col min="48" max="48" width="12.44140625" bestFit="1" customWidth="1"/>
  </cols>
  <sheetData>
    <row r="1" spans="1:65" ht="15" customHeight="1" thickBot="1" x14ac:dyDescent="0.3">
      <c r="A1" s="313">
        <f>StateEQIPAllocation!$B$15</f>
        <v>3801900</v>
      </c>
      <c r="B1" s="314"/>
      <c r="C1" s="147">
        <v>0</v>
      </c>
      <c r="D1" s="148"/>
      <c r="E1" s="149"/>
      <c r="F1" s="149"/>
      <c r="G1" s="149"/>
      <c r="H1" s="149"/>
      <c r="I1" s="149"/>
      <c r="J1" s="149"/>
      <c r="K1" s="150">
        <v>0</v>
      </c>
      <c r="L1" s="151"/>
      <c r="M1" s="149"/>
      <c r="N1" s="152">
        <v>0</v>
      </c>
      <c r="O1" s="152"/>
      <c r="P1" s="153">
        <v>0</v>
      </c>
      <c r="Q1" s="153"/>
      <c r="R1" s="154">
        <v>0</v>
      </c>
      <c r="S1" s="154"/>
      <c r="T1" s="155">
        <v>0</v>
      </c>
      <c r="U1" s="155"/>
      <c r="V1" s="156">
        <v>0</v>
      </c>
      <c r="W1" s="157"/>
      <c r="X1" s="133">
        <v>0</v>
      </c>
      <c r="Y1" s="158"/>
      <c r="Z1" s="158"/>
      <c r="AA1" s="158"/>
      <c r="AB1" s="158"/>
      <c r="AC1" s="159">
        <v>1</v>
      </c>
      <c r="AD1" s="160"/>
      <c r="AE1" s="150"/>
      <c r="AF1" s="150">
        <v>0</v>
      </c>
      <c r="AG1" s="150"/>
      <c r="AH1" s="161">
        <f>SUM(C1+K1+N1+P1+R1+T1+V1+X1+AC1+AF1)</f>
        <v>1</v>
      </c>
      <c r="AI1" s="15"/>
      <c r="AJ1" s="16"/>
    </row>
    <row r="2" spans="1:65" ht="52.8" customHeight="1" x14ac:dyDescent="0.25">
      <c r="A2" s="315"/>
      <c r="B2" s="316" t="s">
        <v>100</v>
      </c>
      <c r="C2" s="271" t="s">
        <v>5</v>
      </c>
      <c r="D2" s="269"/>
      <c r="E2" s="22"/>
      <c r="F2" s="22"/>
      <c r="G2" s="22"/>
      <c r="H2" s="22"/>
      <c r="I2" s="22"/>
      <c r="J2" s="273" t="s">
        <v>6</v>
      </c>
      <c r="K2" s="272" t="s">
        <v>70</v>
      </c>
      <c r="L2" s="269"/>
      <c r="M2" s="23" t="s">
        <v>12</v>
      </c>
      <c r="N2" s="275" t="s">
        <v>7</v>
      </c>
      <c r="O2" s="269"/>
      <c r="P2" s="268" t="s">
        <v>8</v>
      </c>
      <c r="Q2" s="269"/>
      <c r="R2" s="270" t="s">
        <v>9</v>
      </c>
      <c r="S2" s="270"/>
      <c r="T2" s="276" t="s">
        <v>48</v>
      </c>
      <c r="U2" s="277"/>
      <c r="V2" s="266" t="s">
        <v>49</v>
      </c>
      <c r="W2" s="267"/>
      <c r="X2" s="136" t="s">
        <v>69</v>
      </c>
      <c r="Y2" s="24" t="s">
        <v>63</v>
      </c>
      <c r="Z2" s="24" t="s">
        <v>62</v>
      </c>
      <c r="AA2" s="24"/>
      <c r="AB2" s="24" t="s">
        <v>65</v>
      </c>
      <c r="AC2" s="58" t="s">
        <v>14</v>
      </c>
      <c r="AD2" s="137" t="s">
        <v>13</v>
      </c>
      <c r="AE2" s="25" t="s">
        <v>79</v>
      </c>
      <c r="AF2" s="25" t="s">
        <v>0</v>
      </c>
      <c r="AG2" s="25"/>
      <c r="AH2" s="162" t="s">
        <v>78</v>
      </c>
      <c r="AI2" s="11" t="s">
        <v>23</v>
      </c>
      <c r="AJ2" s="13" t="s">
        <v>55</v>
      </c>
      <c r="AL2" s="33" t="s">
        <v>57</v>
      </c>
      <c r="AM2" s="33" t="s">
        <v>58</v>
      </c>
      <c r="AN2" s="33" t="s">
        <v>56</v>
      </c>
      <c r="AO2" s="36" t="s">
        <v>59</v>
      </c>
      <c r="AP2" s="36" t="s">
        <v>60</v>
      </c>
      <c r="AR2" s="167" t="s">
        <v>82</v>
      </c>
    </row>
    <row r="3" spans="1:65" ht="18" thickBot="1" x14ac:dyDescent="0.3">
      <c r="A3" s="317" t="s">
        <v>16</v>
      </c>
      <c r="B3" s="318" t="s">
        <v>10</v>
      </c>
      <c r="C3" s="143" t="s">
        <v>4</v>
      </c>
      <c r="D3" s="94" t="s">
        <v>22</v>
      </c>
      <c r="E3" s="60" t="s">
        <v>17</v>
      </c>
      <c r="F3" s="60" t="s">
        <v>18</v>
      </c>
      <c r="G3" s="60" t="s">
        <v>19</v>
      </c>
      <c r="H3" s="60" t="s">
        <v>20</v>
      </c>
      <c r="I3" s="60" t="s">
        <v>21</v>
      </c>
      <c r="J3" s="274"/>
      <c r="K3" s="26" t="s">
        <v>4</v>
      </c>
      <c r="L3" s="69" t="s">
        <v>22</v>
      </c>
      <c r="M3" s="61" t="s">
        <v>11</v>
      </c>
      <c r="N3" s="62" t="s">
        <v>4</v>
      </c>
      <c r="O3" s="70" t="s">
        <v>22</v>
      </c>
      <c r="P3" s="63" t="s">
        <v>4</v>
      </c>
      <c r="Q3" s="71" t="s">
        <v>22</v>
      </c>
      <c r="R3" s="64" t="s">
        <v>4</v>
      </c>
      <c r="S3" s="72" t="s">
        <v>22</v>
      </c>
      <c r="T3" s="65" t="s">
        <v>24</v>
      </c>
      <c r="U3" s="73" t="s">
        <v>22</v>
      </c>
      <c r="V3" s="66" t="s">
        <v>2</v>
      </c>
      <c r="W3" s="74" t="s">
        <v>22</v>
      </c>
      <c r="X3" s="138" t="s">
        <v>81</v>
      </c>
      <c r="Y3" s="67" t="s">
        <v>3</v>
      </c>
      <c r="Z3" s="67" t="s">
        <v>3</v>
      </c>
      <c r="AA3" s="75" t="s">
        <v>22</v>
      </c>
      <c r="AB3" s="67" t="s">
        <v>3</v>
      </c>
      <c r="AC3" s="68" t="s">
        <v>80</v>
      </c>
      <c r="AD3" s="139" t="s">
        <v>80</v>
      </c>
      <c r="AE3" s="26" t="s">
        <v>10</v>
      </c>
      <c r="AF3" s="26" t="s">
        <v>1</v>
      </c>
      <c r="AG3" s="76" t="s">
        <v>22</v>
      </c>
      <c r="AH3" s="163" t="s">
        <v>10</v>
      </c>
      <c r="AI3" s="12" t="s">
        <v>50</v>
      </c>
      <c r="AJ3" s="14"/>
      <c r="AL3" s="33"/>
      <c r="AM3" s="33"/>
      <c r="AN3" s="33"/>
      <c r="AO3" s="27"/>
      <c r="AP3" s="27"/>
    </row>
    <row r="4" spans="1:65" ht="20.399999999999999" x14ac:dyDescent="0.35">
      <c r="A4" s="319" t="s">
        <v>25</v>
      </c>
      <c r="B4" s="322">
        <f>AH4</f>
        <v>165300</v>
      </c>
      <c r="C4" s="140">
        <v>586</v>
      </c>
      <c r="D4" s="98">
        <f t="shared" ref="D4:D26" si="0">C4/$C$27</f>
        <v>4.904586541680616E-2</v>
      </c>
      <c r="E4" s="99">
        <v>103</v>
      </c>
      <c r="F4" s="99">
        <v>8</v>
      </c>
      <c r="G4" s="99"/>
      <c r="H4" s="99"/>
      <c r="I4" s="99">
        <v>1</v>
      </c>
      <c r="J4" s="99"/>
      <c r="K4" s="100">
        <v>390</v>
      </c>
      <c r="L4" s="101">
        <f t="shared" ref="L4:L26" si="1">K4/$K$27</f>
        <v>4.1344217110145236E-2</v>
      </c>
      <c r="M4" s="99">
        <v>2007455</v>
      </c>
      <c r="N4" s="102">
        <v>302555</v>
      </c>
      <c r="O4" s="103">
        <f t="shared" ref="O4:O26" si="2">N4/$N$27</f>
        <v>9.9673587983309664E-3</v>
      </c>
      <c r="P4" s="104">
        <f>M4-N4</f>
        <v>1704900</v>
      </c>
      <c r="Q4" s="105">
        <f t="shared" ref="Q4:Q26" si="3">P4/$P$27</f>
        <v>5.6925002136064877E-2</v>
      </c>
      <c r="R4" s="106">
        <v>107391</v>
      </c>
      <c r="S4" s="107">
        <f t="shared" ref="S4:S26" si="4">R4/$R$27</f>
        <v>6.8506678047128122E-2</v>
      </c>
      <c r="T4" s="108">
        <v>30984.481999999993</v>
      </c>
      <c r="U4" s="109">
        <f t="shared" ref="U4:U26" si="5">T4/$T$27</f>
        <v>2.7630965316034619E-2</v>
      </c>
      <c r="V4" s="110">
        <v>25</v>
      </c>
      <c r="W4" s="111">
        <f t="shared" ref="W4:W26" si="6">V4/$V$27</f>
        <v>4.8355899419729204E-2</v>
      </c>
      <c r="X4" s="112">
        <v>1</v>
      </c>
      <c r="Y4" s="113">
        <f t="shared" ref="Y4:Y26" si="7">SUM(X4-$X$27)</f>
        <v>0.39</v>
      </c>
      <c r="Z4" s="113">
        <f t="shared" ref="Z4:Z26" si="8">IF(Y4&gt;0,Y4,"0")</f>
        <v>0.39</v>
      </c>
      <c r="AA4" s="113">
        <f t="shared" ref="AA4:AA26" si="9">IF(Z4&gt;0,Z4/$Z$27,0)</f>
        <v>4.3478260869565223E-2</v>
      </c>
      <c r="AB4" s="144">
        <f t="shared" ref="AB4:AB26" si="10">AA4*$X$1*$A$1</f>
        <v>0</v>
      </c>
      <c r="AC4" s="242">
        <v>2</v>
      </c>
      <c r="AD4" s="114">
        <f>AC4/$AC$27</f>
        <v>4.3478260869565216E-2</v>
      </c>
      <c r="AE4" s="164">
        <v>1</v>
      </c>
      <c r="AF4" s="115">
        <f>SUM(AC4-AE4)</f>
        <v>1</v>
      </c>
      <c r="AG4" s="116">
        <f>AF4/$AF$27</f>
        <v>4.3478260869565216E-2</v>
      </c>
      <c r="AH4" s="255">
        <f t="shared" ref="AH4:AH26" si="11">SUM((D4*$C$1)+(L4*$K$1)+(O4*$N$1)+(Q4*$P$1)+(S4*$R$1)+(U4*$T$1)+(W4*$V$1)+(AD4*$AC$1)+(AG4*$AF$1))*$A$1+AB4</f>
        <v>165300</v>
      </c>
      <c r="AI4" s="259">
        <v>339369</v>
      </c>
      <c r="AJ4" s="260">
        <f t="shared" ref="AJ4:AJ26" si="12">SUM(AH4-AI4)</f>
        <v>-174069</v>
      </c>
      <c r="AK4" s="5"/>
      <c r="AL4" s="34">
        <v>111470.94945820989</v>
      </c>
      <c r="AM4" s="35">
        <v>31483.245408775379</v>
      </c>
      <c r="AN4" s="34">
        <f t="shared" ref="AN4:AN26" si="13">SUM(AH4+AL4+AM4)</f>
        <v>308254.19486698532</v>
      </c>
      <c r="AO4" s="32">
        <f t="shared" ref="AO4:AO26" si="14">AN4-AE4</f>
        <v>308253.19486698532</v>
      </c>
      <c r="AP4" s="32">
        <f t="shared" ref="AP4:AP26" si="15">AN4-AC4</f>
        <v>308252.19486698532</v>
      </c>
      <c r="AR4" s="165">
        <f t="shared" ref="AR4:AR26" si="16">SUM(AH4-AE4)</f>
        <v>165299</v>
      </c>
    </row>
    <row r="5" spans="1:65" ht="20.399999999999999" x14ac:dyDescent="0.25">
      <c r="A5" s="320" t="s">
        <v>26</v>
      </c>
      <c r="B5" s="323">
        <f>AH5</f>
        <v>165300</v>
      </c>
      <c r="C5" s="141">
        <v>1008</v>
      </c>
      <c r="D5" s="95">
        <f t="shared" si="0"/>
        <v>8.4365584198192164E-2</v>
      </c>
      <c r="E5" s="38">
        <v>102</v>
      </c>
      <c r="F5" s="38">
        <v>11</v>
      </c>
      <c r="G5" s="38">
        <v>3</v>
      </c>
      <c r="H5" s="38">
        <v>3</v>
      </c>
      <c r="I5" s="38"/>
      <c r="J5" s="38"/>
      <c r="K5" s="39">
        <v>797</v>
      </c>
      <c r="L5" s="40">
        <f t="shared" si="1"/>
        <v>8.4490618043040394E-2</v>
      </c>
      <c r="M5" s="38">
        <v>4442652</v>
      </c>
      <c r="N5" s="56">
        <v>813152</v>
      </c>
      <c r="O5" s="41">
        <f t="shared" si="2"/>
        <v>2.6788444221977566E-2</v>
      </c>
      <c r="P5" s="42">
        <f t="shared" ref="P5:P6" si="17">M5-N5</f>
        <v>3629500</v>
      </c>
      <c r="Q5" s="43">
        <f t="shared" si="3"/>
        <v>0.12118557994770807</v>
      </c>
      <c r="R5" s="44">
        <v>127546</v>
      </c>
      <c r="S5" s="45">
        <f t="shared" si="4"/>
        <v>8.1363920237254556E-2</v>
      </c>
      <c r="T5" s="46">
        <v>55148.575000000004</v>
      </c>
      <c r="U5" s="47">
        <f t="shared" si="5"/>
        <v>4.917972690502731E-2</v>
      </c>
      <c r="V5" s="48">
        <v>20</v>
      </c>
      <c r="W5" s="49">
        <f t="shared" si="6"/>
        <v>3.8684719535783368E-2</v>
      </c>
      <c r="X5" s="112">
        <v>1</v>
      </c>
      <c r="Y5" s="37">
        <f t="shared" si="7"/>
        <v>0.39</v>
      </c>
      <c r="Z5" s="37">
        <f t="shared" si="8"/>
        <v>0.39</v>
      </c>
      <c r="AA5" s="37">
        <f t="shared" si="9"/>
        <v>4.3478260869565223E-2</v>
      </c>
      <c r="AB5" s="145">
        <f t="shared" si="10"/>
        <v>0</v>
      </c>
      <c r="AC5" s="242">
        <v>2</v>
      </c>
      <c r="AD5" s="57">
        <f t="shared" ref="AD5:AD26" si="18">AC5/$AC$27</f>
        <v>4.3478260869565216E-2</v>
      </c>
      <c r="AE5" s="164">
        <v>1</v>
      </c>
      <c r="AF5" s="50">
        <f t="shared" ref="AF5:AF9" si="19">AC5-AE5</f>
        <v>1</v>
      </c>
      <c r="AG5" s="51">
        <f t="shared" ref="AG5:AG26" si="20">AF5/$AF$27</f>
        <v>4.3478260869565216E-2</v>
      </c>
      <c r="AH5" s="255">
        <f t="shared" si="11"/>
        <v>165300</v>
      </c>
      <c r="AI5" s="261">
        <v>304590</v>
      </c>
      <c r="AJ5" s="262">
        <f t="shared" ref="AJ5:AJ13" si="21">SUM(AH5-AI5)</f>
        <v>-139290</v>
      </c>
      <c r="AK5" s="52"/>
      <c r="AL5" s="53">
        <v>169151.71460995631</v>
      </c>
      <c r="AM5" s="54">
        <v>59290.04261783421</v>
      </c>
      <c r="AN5" s="53">
        <f t="shared" ref="AN5:AN13" si="22">SUM(AH5+AL5+AM5)</f>
        <v>393741.75722779054</v>
      </c>
      <c r="AO5" s="55">
        <f t="shared" ref="AO5:AO13" si="23">AN5-AE5</f>
        <v>393740.75722779054</v>
      </c>
      <c r="AP5" s="55">
        <f t="shared" ref="AP5:AP13" si="24">AN5-AC5</f>
        <v>393739.75722779054</v>
      </c>
      <c r="AR5" s="165">
        <f t="shared" si="16"/>
        <v>165299</v>
      </c>
    </row>
    <row r="6" spans="1:65" ht="21" thickBot="1" x14ac:dyDescent="0.3">
      <c r="A6" s="320" t="s">
        <v>27</v>
      </c>
      <c r="B6" s="323">
        <f t="shared" ref="B6:B25" si="25">AH6</f>
        <v>165300</v>
      </c>
      <c r="C6" s="140">
        <v>246</v>
      </c>
      <c r="D6" s="170">
        <f t="shared" si="0"/>
        <v>2.058921995313023E-2</v>
      </c>
      <c r="E6" s="171">
        <v>24</v>
      </c>
      <c r="F6" s="171">
        <v>1</v>
      </c>
      <c r="G6" s="171">
        <v>4</v>
      </c>
      <c r="H6" s="171">
        <v>3</v>
      </c>
      <c r="I6" s="171"/>
      <c r="J6" s="171"/>
      <c r="K6" s="172">
        <v>232</v>
      </c>
      <c r="L6" s="173">
        <f t="shared" si="1"/>
        <v>2.4594508639881267E-2</v>
      </c>
      <c r="M6" s="171">
        <v>1432676</v>
      </c>
      <c r="N6" s="102">
        <v>341347</v>
      </c>
      <c r="O6" s="174">
        <f t="shared" si="2"/>
        <v>1.1245320763940046E-2</v>
      </c>
      <c r="P6" s="175">
        <f t="shared" si="17"/>
        <v>1091329</v>
      </c>
      <c r="Q6" s="176">
        <f t="shared" si="3"/>
        <v>3.6438445454953103E-2</v>
      </c>
      <c r="R6" s="177">
        <v>38477</v>
      </c>
      <c r="S6" s="178">
        <f t="shared" si="4"/>
        <v>2.4545180240610004E-2</v>
      </c>
      <c r="T6" s="179">
        <v>12619.029</v>
      </c>
      <c r="U6" s="180">
        <f t="shared" si="5"/>
        <v>1.1253244531279726E-2</v>
      </c>
      <c r="V6" s="181">
        <v>23</v>
      </c>
      <c r="W6" s="182">
        <f t="shared" si="6"/>
        <v>4.4487427466150871E-2</v>
      </c>
      <c r="X6" s="112">
        <v>1</v>
      </c>
      <c r="Y6" s="113">
        <f t="shared" si="7"/>
        <v>0.39</v>
      </c>
      <c r="Z6" s="113">
        <f t="shared" si="8"/>
        <v>0.39</v>
      </c>
      <c r="AA6" s="113">
        <f t="shared" si="9"/>
        <v>4.3478260869565223E-2</v>
      </c>
      <c r="AB6" s="183">
        <f t="shared" si="10"/>
        <v>0</v>
      </c>
      <c r="AC6" s="242">
        <v>2</v>
      </c>
      <c r="AD6" s="184">
        <f t="shared" si="18"/>
        <v>4.3478260869565216E-2</v>
      </c>
      <c r="AE6" s="164">
        <v>1</v>
      </c>
      <c r="AF6" s="185">
        <f>SUM(AC6-AE6)</f>
        <v>1</v>
      </c>
      <c r="AG6" s="186">
        <f t="shared" si="20"/>
        <v>4.3478260869565216E-2</v>
      </c>
      <c r="AH6" s="255">
        <f t="shared" si="11"/>
        <v>165300</v>
      </c>
      <c r="AI6" s="261">
        <v>264747</v>
      </c>
      <c r="AJ6" s="262">
        <f t="shared" si="21"/>
        <v>-99447</v>
      </c>
      <c r="AK6" s="52"/>
      <c r="AL6" s="53">
        <v>167922.39472116291</v>
      </c>
      <c r="AM6" s="54">
        <v>13273.427331892197</v>
      </c>
      <c r="AN6" s="53">
        <f t="shared" si="22"/>
        <v>346495.8220530551</v>
      </c>
      <c r="AO6" s="55">
        <f t="shared" si="23"/>
        <v>346494.8220530551</v>
      </c>
      <c r="AP6" s="55">
        <f t="shared" si="24"/>
        <v>346493.8220530551</v>
      </c>
      <c r="AR6" s="165">
        <f t="shared" si="16"/>
        <v>165299</v>
      </c>
    </row>
    <row r="7" spans="1:65" ht="20.399999999999999" x14ac:dyDescent="0.25">
      <c r="A7" s="320" t="s">
        <v>28</v>
      </c>
      <c r="B7" s="323">
        <f t="shared" si="25"/>
        <v>165300</v>
      </c>
      <c r="C7" s="213">
        <v>1152</v>
      </c>
      <c r="D7" s="214">
        <f t="shared" si="0"/>
        <v>9.6417810512219621E-2</v>
      </c>
      <c r="E7" s="215">
        <v>222</v>
      </c>
      <c r="F7" s="215">
        <v>26</v>
      </c>
      <c r="G7" s="215">
        <v>178</v>
      </c>
      <c r="H7" s="215">
        <v>3</v>
      </c>
      <c r="I7" s="215"/>
      <c r="J7" s="215"/>
      <c r="K7" s="216">
        <v>946</v>
      </c>
      <c r="L7" s="217">
        <f t="shared" si="1"/>
        <v>0.10028622919537793</v>
      </c>
      <c r="M7" s="215">
        <v>5876657</v>
      </c>
      <c r="N7" s="218">
        <v>1701015</v>
      </c>
      <c r="O7" s="219">
        <f t="shared" si="2"/>
        <v>5.603816438777396E-2</v>
      </c>
      <c r="P7" s="220">
        <v>2349619</v>
      </c>
      <c r="Q7" s="221">
        <f t="shared" si="3"/>
        <v>7.8451561143726103E-2</v>
      </c>
      <c r="R7" s="222">
        <v>135890</v>
      </c>
      <c r="S7" s="223">
        <f t="shared" si="4"/>
        <v>8.668671005786556E-2</v>
      </c>
      <c r="T7" s="224">
        <v>75098.873000000036</v>
      </c>
      <c r="U7" s="225">
        <f t="shared" si="5"/>
        <v>6.6970761529474343E-2</v>
      </c>
      <c r="V7" s="226">
        <v>22</v>
      </c>
      <c r="W7" s="227">
        <f t="shared" si="6"/>
        <v>4.2553191489361701E-2</v>
      </c>
      <c r="X7" s="228">
        <v>1</v>
      </c>
      <c r="Y7" s="229">
        <f t="shared" si="7"/>
        <v>0.39</v>
      </c>
      <c r="Z7" s="229">
        <f t="shared" ref="Z7:Z13" si="26">IF(Y7&gt;0,Y7,"0")</f>
        <v>0.39</v>
      </c>
      <c r="AA7" s="229">
        <f t="shared" si="9"/>
        <v>4.3478260869565223E-2</v>
      </c>
      <c r="AB7" s="230">
        <f t="shared" si="10"/>
        <v>0</v>
      </c>
      <c r="AC7" s="242">
        <v>2</v>
      </c>
      <c r="AD7" s="231">
        <f t="shared" si="18"/>
        <v>4.3478260869565216E-2</v>
      </c>
      <c r="AE7" s="164">
        <v>1</v>
      </c>
      <c r="AF7" s="232">
        <f t="shared" si="19"/>
        <v>1</v>
      </c>
      <c r="AG7" s="233">
        <f>AF7/$AF$27</f>
        <v>4.3478260869565216E-2</v>
      </c>
      <c r="AH7" s="256">
        <f t="shared" si="11"/>
        <v>165300</v>
      </c>
      <c r="AI7" s="261">
        <v>633978</v>
      </c>
      <c r="AJ7" s="262">
        <f t="shared" si="21"/>
        <v>-468678</v>
      </c>
      <c r="AK7" s="52"/>
      <c r="AL7" s="53">
        <v>291378.26088594302</v>
      </c>
      <c r="AM7" s="54">
        <v>52378.971745564188</v>
      </c>
      <c r="AN7" s="53">
        <f t="shared" si="22"/>
        <v>509057.23263150721</v>
      </c>
      <c r="AO7" s="55">
        <f t="shared" si="23"/>
        <v>509056.23263150721</v>
      </c>
      <c r="AP7" s="55">
        <f t="shared" si="24"/>
        <v>509055.23263150721</v>
      </c>
      <c r="AR7" s="165">
        <f t="shared" si="16"/>
        <v>165299</v>
      </c>
    </row>
    <row r="8" spans="1:65" ht="21" thickBot="1" x14ac:dyDescent="0.3">
      <c r="A8" s="320" t="s">
        <v>29</v>
      </c>
      <c r="B8" s="323">
        <f t="shared" si="25"/>
        <v>165300</v>
      </c>
      <c r="C8" s="140">
        <v>233</v>
      </c>
      <c r="D8" s="170">
        <f t="shared" si="0"/>
        <v>1.9501171744224974E-2</v>
      </c>
      <c r="E8" s="171">
        <v>27</v>
      </c>
      <c r="F8" s="171">
        <v>3</v>
      </c>
      <c r="G8" s="171">
        <v>5</v>
      </c>
      <c r="H8" s="171"/>
      <c r="I8" s="171"/>
      <c r="J8" s="171"/>
      <c r="K8" s="172">
        <v>184</v>
      </c>
      <c r="L8" s="173">
        <f t="shared" si="1"/>
        <v>1.9505989610940317E-2</v>
      </c>
      <c r="M8" s="171">
        <v>1282482</v>
      </c>
      <c r="N8" s="102">
        <v>517216</v>
      </c>
      <c r="O8" s="174">
        <f t="shared" si="2"/>
        <v>1.703914147258366E-2</v>
      </c>
      <c r="P8" s="175">
        <f t="shared" ref="P8:P13" si="27">M8-N8</f>
        <v>765266</v>
      </c>
      <c r="Q8" s="176">
        <f t="shared" si="3"/>
        <v>2.555150958100641E-2</v>
      </c>
      <c r="R8" s="177">
        <v>14809</v>
      </c>
      <c r="S8" s="178">
        <f t="shared" si="4"/>
        <v>9.4469312623955484E-3</v>
      </c>
      <c r="T8" s="179">
        <v>11281.263999999997</v>
      </c>
      <c r="U8" s="180">
        <f t="shared" si="5"/>
        <v>1.0060268695311091E-2</v>
      </c>
      <c r="V8" s="181">
        <v>23</v>
      </c>
      <c r="W8" s="182">
        <f t="shared" si="6"/>
        <v>4.4487427466150871E-2</v>
      </c>
      <c r="X8" s="112">
        <v>1</v>
      </c>
      <c r="Y8" s="113">
        <f t="shared" si="7"/>
        <v>0.39</v>
      </c>
      <c r="Z8" s="113">
        <f t="shared" si="26"/>
        <v>0.39</v>
      </c>
      <c r="AA8" s="113">
        <f t="shared" si="9"/>
        <v>4.3478260869565223E-2</v>
      </c>
      <c r="AB8" s="183">
        <f t="shared" si="10"/>
        <v>0</v>
      </c>
      <c r="AC8" s="242">
        <v>2</v>
      </c>
      <c r="AD8" s="184">
        <f t="shared" si="18"/>
        <v>4.3478260869565216E-2</v>
      </c>
      <c r="AE8" s="164">
        <v>1</v>
      </c>
      <c r="AF8" s="185">
        <f>SUM(AC8-AE8)</f>
        <v>1</v>
      </c>
      <c r="AG8" s="186">
        <f>AF8/$AF$27</f>
        <v>4.3478260869565216E-2</v>
      </c>
      <c r="AH8" s="255">
        <f t="shared" si="11"/>
        <v>165300</v>
      </c>
      <c r="AI8" s="261">
        <v>38398</v>
      </c>
      <c r="AJ8" s="262">
        <f t="shared" si="21"/>
        <v>126902</v>
      </c>
      <c r="AK8" s="52"/>
      <c r="AL8" s="53">
        <v>112335.61017928348</v>
      </c>
      <c r="AM8" s="54">
        <v>12116.149843060908</v>
      </c>
      <c r="AN8" s="53">
        <f t="shared" si="22"/>
        <v>289751.76002234442</v>
      </c>
      <c r="AO8" s="55">
        <f t="shared" si="23"/>
        <v>289750.76002234442</v>
      </c>
      <c r="AP8" s="55">
        <f t="shared" si="24"/>
        <v>289749.76002234442</v>
      </c>
      <c r="AR8" s="165">
        <f t="shared" si="16"/>
        <v>165299</v>
      </c>
    </row>
    <row r="9" spans="1:65" ht="20.399999999999999" x14ac:dyDescent="0.25">
      <c r="A9" s="320" t="s">
        <v>30</v>
      </c>
      <c r="B9" s="323">
        <f t="shared" si="25"/>
        <v>165300</v>
      </c>
      <c r="C9" s="213">
        <v>698</v>
      </c>
      <c r="D9" s="214">
        <f>C9/$C$27</f>
        <v>5.8419819216605287E-2</v>
      </c>
      <c r="E9" s="215">
        <v>69</v>
      </c>
      <c r="F9" s="215">
        <v>1</v>
      </c>
      <c r="G9" s="215"/>
      <c r="H9" s="215"/>
      <c r="I9" s="215"/>
      <c r="J9" s="215"/>
      <c r="K9" s="216">
        <v>552</v>
      </c>
      <c r="L9" s="217">
        <f t="shared" si="1"/>
        <v>5.8517968832820948E-2</v>
      </c>
      <c r="M9" s="215">
        <v>2608341</v>
      </c>
      <c r="N9" s="218">
        <v>343798</v>
      </c>
      <c r="O9" s="219">
        <f t="shared" si="2"/>
        <v>1.132606640164132E-2</v>
      </c>
      <c r="P9" s="220">
        <f t="shared" si="27"/>
        <v>2264543</v>
      </c>
      <c r="Q9" s="221">
        <f t="shared" si="3"/>
        <v>7.5610953787442536E-2</v>
      </c>
      <c r="R9" s="222">
        <v>81307</v>
      </c>
      <c r="S9" s="223">
        <f t="shared" si="4"/>
        <v>5.1867218593530613E-2</v>
      </c>
      <c r="T9" s="224">
        <v>48425.091999999997</v>
      </c>
      <c r="U9" s="225">
        <f t="shared" si="5"/>
        <v>4.318394083456957E-2</v>
      </c>
      <c r="V9" s="226">
        <v>22</v>
      </c>
      <c r="W9" s="227">
        <f t="shared" si="6"/>
        <v>4.2553191489361701E-2</v>
      </c>
      <c r="X9" s="228">
        <v>1</v>
      </c>
      <c r="Y9" s="229">
        <f t="shared" si="7"/>
        <v>0.39</v>
      </c>
      <c r="Z9" s="229">
        <f t="shared" si="26"/>
        <v>0.39</v>
      </c>
      <c r="AA9" s="229">
        <f t="shared" si="9"/>
        <v>4.3478260869565223E-2</v>
      </c>
      <c r="AB9" s="230">
        <f t="shared" si="10"/>
        <v>0</v>
      </c>
      <c r="AC9" s="242">
        <v>2</v>
      </c>
      <c r="AD9" s="231">
        <f t="shared" si="18"/>
        <v>4.3478260869565216E-2</v>
      </c>
      <c r="AE9" s="164">
        <v>1</v>
      </c>
      <c r="AF9" s="232">
        <f t="shared" si="19"/>
        <v>1</v>
      </c>
      <c r="AG9" s="233">
        <f>AF9/$AF$27</f>
        <v>4.3478260869565216E-2</v>
      </c>
      <c r="AH9" s="256">
        <f t="shared" si="11"/>
        <v>165300</v>
      </c>
      <c r="AI9" s="261">
        <v>226275</v>
      </c>
      <c r="AJ9" s="262">
        <f t="shared" si="21"/>
        <v>-60975</v>
      </c>
      <c r="AK9" s="52"/>
      <c r="AL9" s="53">
        <v>162441.72421730793</v>
      </c>
      <c r="AM9" s="54">
        <v>20719.311230628078</v>
      </c>
      <c r="AN9" s="53">
        <f t="shared" si="22"/>
        <v>348461.03544793598</v>
      </c>
      <c r="AO9" s="55">
        <f t="shared" si="23"/>
        <v>348460.03544793598</v>
      </c>
      <c r="AP9" s="55">
        <f t="shared" si="24"/>
        <v>348459.03544793598</v>
      </c>
      <c r="AR9" s="165">
        <f t="shared" si="16"/>
        <v>165299</v>
      </c>
    </row>
    <row r="10" spans="1:65" ht="20.399999999999999" x14ac:dyDescent="0.25">
      <c r="A10" s="320" t="s">
        <v>31</v>
      </c>
      <c r="B10" s="323">
        <f t="shared" si="25"/>
        <v>165300</v>
      </c>
      <c r="C10" s="141">
        <v>402</v>
      </c>
      <c r="D10" s="95">
        <f t="shared" si="0"/>
        <v>3.3645798459993305E-2</v>
      </c>
      <c r="E10" s="38">
        <v>29</v>
      </c>
      <c r="F10" s="38">
        <v>5</v>
      </c>
      <c r="G10" s="38">
        <v>1</v>
      </c>
      <c r="H10" s="38"/>
      <c r="I10" s="38">
        <v>1</v>
      </c>
      <c r="J10" s="38">
        <v>1</v>
      </c>
      <c r="K10" s="39">
        <v>289</v>
      </c>
      <c r="L10" s="40">
        <f t="shared" si="1"/>
        <v>3.063712498674865E-2</v>
      </c>
      <c r="M10" s="38">
        <v>3124859</v>
      </c>
      <c r="N10" s="56">
        <v>777516</v>
      </c>
      <c r="O10" s="41">
        <f t="shared" si="2"/>
        <v>2.5614453383494242E-2</v>
      </c>
      <c r="P10" s="42">
        <f t="shared" si="27"/>
        <v>2347343</v>
      </c>
      <c r="Q10" s="43">
        <f t="shared" si="3"/>
        <v>7.8375567651520289E-2</v>
      </c>
      <c r="R10" s="44">
        <v>158698</v>
      </c>
      <c r="S10" s="45">
        <f t="shared" si="4"/>
        <v>0.10123634934699499</v>
      </c>
      <c r="T10" s="46">
        <v>56244.235999999932</v>
      </c>
      <c r="U10" s="47">
        <f t="shared" si="5"/>
        <v>5.015680217416138E-2</v>
      </c>
      <c r="V10" s="48">
        <v>20</v>
      </c>
      <c r="W10" s="49">
        <f t="shared" si="6"/>
        <v>3.8684719535783368E-2</v>
      </c>
      <c r="X10" s="112">
        <v>1</v>
      </c>
      <c r="Y10" s="37">
        <f t="shared" si="7"/>
        <v>0.39</v>
      </c>
      <c r="Z10" s="37">
        <f t="shared" si="26"/>
        <v>0.39</v>
      </c>
      <c r="AA10" s="37">
        <f t="shared" si="9"/>
        <v>4.3478260869565223E-2</v>
      </c>
      <c r="AB10" s="145">
        <f t="shared" si="10"/>
        <v>0</v>
      </c>
      <c r="AC10" s="242">
        <v>2</v>
      </c>
      <c r="AD10" s="57">
        <f t="shared" si="18"/>
        <v>4.3478260869565216E-2</v>
      </c>
      <c r="AE10" s="164">
        <v>1</v>
      </c>
      <c r="AF10" s="50">
        <f>SUM(AC10-AE10)</f>
        <v>1</v>
      </c>
      <c r="AG10" s="51">
        <f t="shared" si="20"/>
        <v>4.3478260869565216E-2</v>
      </c>
      <c r="AH10" s="255">
        <f t="shared" si="11"/>
        <v>165300</v>
      </c>
      <c r="AI10" s="261">
        <v>177311</v>
      </c>
      <c r="AJ10" s="262">
        <f t="shared" si="21"/>
        <v>-12011</v>
      </c>
      <c r="AK10" s="52"/>
      <c r="AL10" s="53">
        <v>152468.91807293607</v>
      </c>
      <c r="AM10" s="54">
        <v>22017.494467350447</v>
      </c>
      <c r="AN10" s="53">
        <f t="shared" si="22"/>
        <v>339786.41254028649</v>
      </c>
      <c r="AO10" s="55">
        <f t="shared" si="23"/>
        <v>339785.41254028649</v>
      </c>
      <c r="AP10" s="55">
        <f t="shared" si="24"/>
        <v>339784.41254028649</v>
      </c>
      <c r="AR10" s="165">
        <f t="shared" si="16"/>
        <v>165299</v>
      </c>
    </row>
    <row r="11" spans="1:65" ht="20.399999999999999" x14ac:dyDescent="0.25">
      <c r="A11" s="320" t="s">
        <v>32</v>
      </c>
      <c r="B11" s="323">
        <f t="shared" si="25"/>
        <v>165300</v>
      </c>
      <c r="C11" s="141">
        <v>219</v>
      </c>
      <c r="D11" s="95">
        <f t="shared" si="0"/>
        <v>1.8329427519250083E-2</v>
      </c>
      <c r="E11" s="38">
        <v>40</v>
      </c>
      <c r="F11" s="38">
        <v>6</v>
      </c>
      <c r="G11" s="38"/>
      <c r="H11" s="38"/>
      <c r="I11" s="38"/>
      <c r="J11" s="38"/>
      <c r="K11" s="39">
        <v>164</v>
      </c>
      <c r="L11" s="40">
        <f t="shared" si="1"/>
        <v>1.7385773348881587E-2</v>
      </c>
      <c r="M11" s="38">
        <v>6672196</v>
      </c>
      <c r="N11" s="56">
        <v>1665441</v>
      </c>
      <c r="O11" s="41">
        <f t="shared" si="2"/>
        <v>5.4866216074601723E-2</v>
      </c>
      <c r="P11" s="42">
        <f t="shared" si="27"/>
        <v>5006755</v>
      </c>
      <c r="Q11" s="43">
        <f t="shared" si="3"/>
        <v>0.16717082472271308</v>
      </c>
      <c r="R11" s="44">
        <v>35424</v>
      </c>
      <c r="S11" s="45">
        <f t="shared" si="4"/>
        <v>2.2597615844358154E-2</v>
      </c>
      <c r="T11" s="46">
        <v>52169.126999999979</v>
      </c>
      <c r="U11" s="47">
        <f t="shared" si="5"/>
        <v>4.6522750927538659E-2</v>
      </c>
      <c r="V11" s="48">
        <v>21</v>
      </c>
      <c r="W11" s="49">
        <f t="shared" si="6"/>
        <v>4.0618955512572531E-2</v>
      </c>
      <c r="X11" s="112">
        <v>1</v>
      </c>
      <c r="Y11" s="37">
        <f t="shared" si="7"/>
        <v>0.39</v>
      </c>
      <c r="Z11" s="37">
        <f t="shared" si="26"/>
        <v>0.39</v>
      </c>
      <c r="AA11" s="37">
        <f>IF(Z11&gt;0,Z11/$Z$27,0)</f>
        <v>4.3478260869565223E-2</v>
      </c>
      <c r="AB11" s="145">
        <f t="shared" si="10"/>
        <v>0</v>
      </c>
      <c r="AC11" s="242">
        <v>2</v>
      </c>
      <c r="AD11" s="57">
        <f t="shared" si="18"/>
        <v>4.3478260869565216E-2</v>
      </c>
      <c r="AE11" s="164">
        <v>1</v>
      </c>
      <c r="AF11" s="50">
        <f>SUM(AC11-AE11)</f>
        <v>1</v>
      </c>
      <c r="AG11" s="51">
        <f t="shared" si="20"/>
        <v>4.3478260869565216E-2</v>
      </c>
      <c r="AH11" s="255">
        <f t="shared" si="11"/>
        <v>165300</v>
      </c>
      <c r="AI11" s="261">
        <v>208167</v>
      </c>
      <c r="AJ11" s="262">
        <f t="shared" si="21"/>
        <v>-42867</v>
      </c>
      <c r="AK11" s="52"/>
      <c r="AL11" s="53">
        <v>261489.98694826689</v>
      </c>
      <c r="AM11" s="54">
        <v>27453.673662540325</v>
      </c>
      <c r="AN11" s="53">
        <f t="shared" si="22"/>
        <v>454243.66061080719</v>
      </c>
      <c r="AO11" s="55">
        <f t="shared" si="23"/>
        <v>454242.66061080719</v>
      </c>
      <c r="AP11" s="55">
        <f t="shared" si="24"/>
        <v>454241.66061080719</v>
      </c>
      <c r="AR11" s="165">
        <f t="shared" si="16"/>
        <v>165299</v>
      </c>
    </row>
    <row r="12" spans="1:65" ht="20.399999999999999" x14ac:dyDescent="0.25">
      <c r="A12" s="320" t="s">
        <v>33</v>
      </c>
      <c r="B12" s="323">
        <f t="shared" si="25"/>
        <v>165300</v>
      </c>
      <c r="C12" s="141">
        <v>142</v>
      </c>
      <c r="D12" s="95">
        <f t="shared" si="0"/>
        <v>1.1884834281888182E-2</v>
      </c>
      <c r="E12" s="38">
        <v>24</v>
      </c>
      <c r="F12" s="38"/>
      <c r="G12" s="38"/>
      <c r="H12" s="38"/>
      <c r="I12" s="38"/>
      <c r="J12" s="38"/>
      <c r="K12" s="39">
        <v>86</v>
      </c>
      <c r="L12" s="40">
        <f t="shared" si="1"/>
        <v>9.1169299268525385E-3</v>
      </c>
      <c r="M12" s="38">
        <v>2557073</v>
      </c>
      <c r="N12" s="56">
        <v>40160</v>
      </c>
      <c r="O12" s="41">
        <f t="shared" si="2"/>
        <v>1.3230292982795578E-3</v>
      </c>
      <c r="P12" s="42">
        <f t="shared" si="27"/>
        <v>2516913</v>
      </c>
      <c r="Q12" s="43">
        <f t="shared" si="3"/>
        <v>8.4037349933303696E-2</v>
      </c>
      <c r="R12" s="44">
        <v>25529</v>
      </c>
      <c r="S12" s="45">
        <f t="shared" si="4"/>
        <v>1.6285414828664729E-2</v>
      </c>
      <c r="T12" s="46">
        <v>13142.313000000002</v>
      </c>
      <c r="U12" s="47">
        <f t="shared" si="5"/>
        <v>1.171989238598441E-2</v>
      </c>
      <c r="V12" s="48">
        <v>20</v>
      </c>
      <c r="W12" s="49">
        <f t="shared" si="6"/>
        <v>3.8684719535783368E-2</v>
      </c>
      <c r="X12" s="112">
        <v>1</v>
      </c>
      <c r="Y12" s="37">
        <f t="shared" si="7"/>
        <v>0.39</v>
      </c>
      <c r="Z12" s="37">
        <f t="shared" si="26"/>
        <v>0.39</v>
      </c>
      <c r="AA12" s="37">
        <f t="shared" si="9"/>
        <v>4.3478260869565223E-2</v>
      </c>
      <c r="AB12" s="145">
        <f t="shared" si="10"/>
        <v>0</v>
      </c>
      <c r="AC12" s="242">
        <v>2</v>
      </c>
      <c r="AD12" s="57">
        <f t="shared" si="18"/>
        <v>4.3478260869565216E-2</v>
      </c>
      <c r="AE12" s="164">
        <v>1</v>
      </c>
      <c r="AF12" s="50">
        <f>SUM(AC12-AE12)</f>
        <v>1</v>
      </c>
      <c r="AG12" s="51">
        <f t="shared" si="20"/>
        <v>4.3478260869565216E-2</v>
      </c>
      <c r="AH12" s="255">
        <f t="shared" si="11"/>
        <v>165300</v>
      </c>
      <c r="AI12" s="261">
        <v>8008</v>
      </c>
      <c r="AJ12" s="262">
        <f t="shared" si="21"/>
        <v>157292</v>
      </c>
      <c r="AK12" s="52"/>
      <c r="AL12" s="53">
        <v>45975.878387437027</v>
      </c>
      <c r="AM12" s="54">
        <v>21190.100652760611</v>
      </c>
      <c r="AN12" s="53">
        <f t="shared" si="22"/>
        <v>232465.97904019765</v>
      </c>
      <c r="AO12" s="55">
        <f t="shared" si="23"/>
        <v>232464.97904019765</v>
      </c>
      <c r="AP12" s="55">
        <f t="shared" si="24"/>
        <v>232463.97904019765</v>
      </c>
      <c r="AR12" s="165">
        <f t="shared" si="16"/>
        <v>165299</v>
      </c>
    </row>
    <row r="13" spans="1:65" ht="21" thickBot="1" x14ac:dyDescent="0.3">
      <c r="A13" s="320" t="s">
        <v>34</v>
      </c>
      <c r="B13" s="323">
        <f t="shared" si="25"/>
        <v>165300</v>
      </c>
      <c r="C13" s="140">
        <v>403</v>
      </c>
      <c r="D13" s="170">
        <f t="shared" si="0"/>
        <v>3.3729494476062938E-2</v>
      </c>
      <c r="E13" s="171">
        <v>32</v>
      </c>
      <c r="F13" s="171">
        <v>8</v>
      </c>
      <c r="G13" s="171">
        <v>2</v>
      </c>
      <c r="H13" s="171"/>
      <c r="I13" s="171"/>
      <c r="J13" s="171"/>
      <c r="K13" s="172">
        <v>300</v>
      </c>
      <c r="L13" s="173">
        <f t="shared" si="1"/>
        <v>3.1803243930880951E-2</v>
      </c>
      <c r="M13" s="171">
        <v>1332265</v>
      </c>
      <c r="N13" s="102">
        <v>650246</v>
      </c>
      <c r="O13" s="174">
        <f t="shared" si="2"/>
        <v>2.1421676023134696E-2</v>
      </c>
      <c r="P13" s="175">
        <f t="shared" si="27"/>
        <v>682019</v>
      </c>
      <c r="Q13" s="176">
        <f t="shared" si="3"/>
        <v>2.2771970808749389E-2</v>
      </c>
      <c r="R13" s="177">
        <v>76188</v>
      </c>
      <c r="S13" s="178">
        <f t="shared" si="4"/>
        <v>4.8601715106988456E-2</v>
      </c>
      <c r="T13" s="179">
        <v>25417.442999999996</v>
      </c>
      <c r="U13" s="180">
        <f t="shared" si="5"/>
        <v>2.2666458840760576E-2</v>
      </c>
      <c r="V13" s="181">
        <v>21</v>
      </c>
      <c r="W13" s="182">
        <f t="shared" si="6"/>
        <v>4.0618955512572531E-2</v>
      </c>
      <c r="X13" s="112">
        <v>1</v>
      </c>
      <c r="Y13" s="113">
        <f t="shared" si="7"/>
        <v>0.39</v>
      </c>
      <c r="Z13" s="113">
        <f t="shared" si="26"/>
        <v>0.39</v>
      </c>
      <c r="AA13" s="113">
        <f t="shared" si="9"/>
        <v>4.3478260869565223E-2</v>
      </c>
      <c r="AB13" s="183">
        <f t="shared" si="10"/>
        <v>0</v>
      </c>
      <c r="AC13" s="242">
        <v>2</v>
      </c>
      <c r="AD13" s="184">
        <f t="shared" si="18"/>
        <v>4.3478260869565216E-2</v>
      </c>
      <c r="AE13" s="164">
        <v>1</v>
      </c>
      <c r="AF13" s="185">
        <f>SUM(AC13-AE13)</f>
        <v>1</v>
      </c>
      <c r="AG13" s="186">
        <f t="shared" si="20"/>
        <v>4.3478260869565216E-2</v>
      </c>
      <c r="AH13" s="255">
        <f t="shared" si="11"/>
        <v>165300</v>
      </c>
      <c r="AI13" s="261">
        <v>319842</v>
      </c>
      <c r="AJ13" s="262">
        <f t="shared" si="21"/>
        <v>-154542</v>
      </c>
      <c r="AK13" s="52"/>
      <c r="AL13" s="53">
        <v>161011.30612275045</v>
      </c>
      <c r="AM13" s="54">
        <v>20907.806039291303</v>
      </c>
      <c r="AN13" s="53">
        <f t="shared" si="22"/>
        <v>347219.11216204177</v>
      </c>
      <c r="AO13" s="55">
        <f t="shared" si="23"/>
        <v>347218.11216204177</v>
      </c>
      <c r="AP13" s="55">
        <f t="shared" si="24"/>
        <v>347217.11216204177</v>
      </c>
      <c r="AR13" s="165">
        <f t="shared" si="16"/>
        <v>165299</v>
      </c>
    </row>
    <row r="14" spans="1:65" ht="20.399999999999999" x14ac:dyDescent="0.25">
      <c r="A14" s="320" t="s">
        <v>35</v>
      </c>
      <c r="B14" s="323">
        <f t="shared" si="25"/>
        <v>165300</v>
      </c>
      <c r="C14" s="213">
        <v>384</v>
      </c>
      <c r="D14" s="214">
        <f t="shared" si="0"/>
        <v>3.2139270170739871E-2</v>
      </c>
      <c r="E14" s="215">
        <v>32</v>
      </c>
      <c r="F14" s="215">
        <v>2</v>
      </c>
      <c r="G14" s="215"/>
      <c r="H14" s="215"/>
      <c r="I14" s="215"/>
      <c r="J14" s="215"/>
      <c r="K14" s="216">
        <v>275</v>
      </c>
      <c r="L14" s="217">
        <f t="shared" si="1"/>
        <v>2.9152973603307538E-2</v>
      </c>
      <c r="M14" s="215">
        <v>2658725</v>
      </c>
      <c r="N14" s="218">
        <v>2035591</v>
      </c>
      <c r="O14" s="219">
        <f t="shared" si="2"/>
        <v>6.7060421621369104E-2</v>
      </c>
      <c r="P14" s="220">
        <f t="shared" ref="P14:P15" si="28">M14-N14</f>
        <v>623134</v>
      </c>
      <c r="Q14" s="221">
        <f t="shared" si="3"/>
        <v>2.0805856226790223E-2</v>
      </c>
      <c r="R14" s="222">
        <v>31697</v>
      </c>
      <c r="S14" s="223">
        <f t="shared" si="4"/>
        <v>2.0220094552241996E-2</v>
      </c>
      <c r="T14" s="224">
        <v>76730.649999999994</v>
      </c>
      <c r="U14" s="225">
        <f t="shared" si="5"/>
        <v>6.8425927818538068E-2</v>
      </c>
      <c r="V14" s="226">
        <v>26</v>
      </c>
      <c r="W14" s="227">
        <f t="shared" si="6"/>
        <v>5.0290135396518373E-2</v>
      </c>
      <c r="X14" s="228">
        <v>1</v>
      </c>
      <c r="Y14" s="229">
        <f t="shared" si="7"/>
        <v>0.39</v>
      </c>
      <c r="Z14" s="229">
        <f t="shared" ref="Z14:Z22" si="29">IF(Y14&gt;0,Y14,"0")</f>
        <v>0.39</v>
      </c>
      <c r="AA14" s="229">
        <f t="shared" si="9"/>
        <v>4.3478260869565223E-2</v>
      </c>
      <c r="AB14" s="230">
        <f t="shared" si="10"/>
        <v>0</v>
      </c>
      <c r="AC14" s="242">
        <v>2</v>
      </c>
      <c r="AD14" s="231">
        <f>AC14/$AC$27</f>
        <v>4.3478260869565216E-2</v>
      </c>
      <c r="AE14" s="164">
        <v>1</v>
      </c>
      <c r="AF14" s="232">
        <f>SUM(AC14-AE14)</f>
        <v>1</v>
      </c>
      <c r="AG14" s="233">
        <f t="shared" si="20"/>
        <v>4.3478260869565216E-2</v>
      </c>
      <c r="AH14" s="256">
        <f t="shared" si="11"/>
        <v>165300</v>
      </c>
      <c r="AI14" s="261">
        <v>273466</v>
      </c>
      <c r="AJ14" s="262">
        <f t="shared" ref="AJ14:AJ22" si="30">SUM(AH14-AI14)</f>
        <v>-108166</v>
      </c>
      <c r="AK14" s="52"/>
      <c r="AL14" s="53">
        <v>254394.97430710963</v>
      </c>
      <c r="AM14" s="54">
        <v>26489.291339002953</v>
      </c>
      <c r="AN14" s="53">
        <f t="shared" ref="AN14:AN22" si="31">SUM(AH14+AL14+AM14)</f>
        <v>446184.26564611256</v>
      </c>
      <c r="AO14" s="55">
        <f t="shared" ref="AO14:AO22" si="32">AN14-AE14</f>
        <v>446183.26564611256</v>
      </c>
      <c r="AP14" s="55">
        <f t="shared" ref="AP14:AP22" si="33">AN14-AC14</f>
        <v>446182.26564611256</v>
      </c>
      <c r="AR14" s="165">
        <f t="shared" si="16"/>
        <v>165299</v>
      </c>
    </row>
    <row r="15" spans="1:65" ht="21" thickBot="1" x14ac:dyDescent="0.3">
      <c r="A15" s="320" t="s">
        <v>36</v>
      </c>
      <c r="B15" s="323">
        <f t="shared" si="25"/>
        <v>165300</v>
      </c>
      <c r="C15" s="140">
        <v>833</v>
      </c>
      <c r="D15" s="170">
        <f t="shared" si="0"/>
        <v>6.9718781386006026E-2</v>
      </c>
      <c r="E15" s="171">
        <v>85</v>
      </c>
      <c r="F15" s="171">
        <v>3</v>
      </c>
      <c r="G15" s="171"/>
      <c r="H15" s="171"/>
      <c r="I15" s="171"/>
      <c r="J15" s="171">
        <v>1</v>
      </c>
      <c r="K15" s="172">
        <v>643</v>
      </c>
      <c r="L15" s="173">
        <f t="shared" si="1"/>
        <v>6.8164952825188169E-2</v>
      </c>
      <c r="M15" s="171">
        <v>1614921</v>
      </c>
      <c r="N15" s="102">
        <v>1304838</v>
      </c>
      <c r="O15" s="174">
        <f t="shared" si="2"/>
        <v>4.29865264817854E-2</v>
      </c>
      <c r="P15" s="175">
        <f t="shared" si="28"/>
        <v>310083</v>
      </c>
      <c r="Q15" s="176">
        <f t="shared" si="3"/>
        <v>1.035337875380222E-2</v>
      </c>
      <c r="R15" s="177">
        <v>54571</v>
      </c>
      <c r="S15" s="178">
        <f t="shared" si="4"/>
        <v>3.4811836445417479E-2</v>
      </c>
      <c r="T15" s="179">
        <v>63631.048000000003</v>
      </c>
      <c r="U15" s="180">
        <f t="shared" si="5"/>
        <v>5.6744123729773326E-2</v>
      </c>
      <c r="V15" s="181">
        <v>25</v>
      </c>
      <c r="W15" s="182">
        <f t="shared" si="6"/>
        <v>4.8355899419729204E-2</v>
      </c>
      <c r="X15" s="112">
        <v>1</v>
      </c>
      <c r="Y15" s="113">
        <f t="shared" si="7"/>
        <v>0.39</v>
      </c>
      <c r="Z15" s="113">
        <f t="shared" si="29"/>
        <v>0.39</v>
      </c>
      <c r="AA15" s="113">
        <f t="shared" si="9"/>
        <v>4.3478260869565223E-2</v>
      </c>
      <c r="AB15" s="183">
        <f t="shared" si="10"/>
        <v>0</v>
      </c>
      <c r="AC15" s="242">
        <v>2</v>
      </c>
      <c r="AD15" s="184">
        <f t="shared" si="18"/>
        <v>4.3478260869565216E-2</v>
      </c>
      <c r="AE15" s="164">
        <v>1</v>
      </c>
      <c r="AF15" s="185">
        <f t="shared" ref="AF15:AF21" si="34">AC15-AE15</f>
        <v>1</v>
      </c>
      <c r="AG15" s="186">
        <f t="shared" si="20"/>
        <v>4.3478260869565216E-2</v>
      </c>
      <c r="AH15" s="255">
        <f t="shared" si="11"/>
        <v>165300</v>
      </c>
      <c r="AI15" s="261">
        <v>223381</v>
      </c>
      <c r="AJ15" s="262">
        <f t="shared" si="30"/>
        <v>-58081</v>
      </c>
      <c r="AK15" s="52"/>
      <c r="AL15" s="187">
        <v>142117.03771879475</v>
      </c>
      <c r="AM15" s="188">
        <v>32192.077380079561</v>
      </c>
      <c r="AN15" s="187">
        <f t="shared" si="31"/>
        <v>339609.11509887432</v>
      </c>
      <c r="AO15" s="189">
        <f t="shared" si="32"/>
        <v>339608.11509887432</v>
      </c>
      <c r="AP15" s="189">
        <f t="shared" si="33"/>
        <v>339607.11509887432</v>
      </c>
      <c r="AR15" s="165">
        <f t="shared" si="16"/>
        <v>165299</v>
      </c>
    </row>
    <row r="16" spans="1:65" s="237" customFormat="1" ht="20.399999999999999" x14ac:dyDescent="0.25">
      <c r="A16" s="320" t="s">
        <v>37</v>
      </c>
      <c r="B16" s="323">
        <f t="shared" ref="B16" si="35">AH16</f>
        <v>165300</v>
      </c>
      <c r="C16" s="213">
        <v>643</v>
      </c>
      <c r="D16" s="214">
        <f t="shared" si="0"/>
        <v>5.381653833277536E-2</v>
      </c>
      <c r="E16" s="215">
        <v>49</v>
      </c>
      <c r="F16" s="215">
        <v>3</v>
      </c>
      <c r="G16" s="215">
        <v>2</v>
      </c>
      <c r="H16" s="215"/>
      <c r="I16" s="215"/>
      <c r="J16" s="215"/>
      <c r="K16" s="216">
        <v>461</v>
      </c>
      <c r="L16" s="217">
        <f t="shared" si="1"/>
        <v>4.8870984840453727E-2</v>
      </c>
      <c r="M16" s="215">
        <v>3069924</v>
      </c>
      <c r="N16" s="218">
        <v>2878017</v>
      </c>
      <c r="O16" s="219">
        <f t="shared" si="2"/>
        <v>9.4813267229746964E-2</v>
      </c>
      <c r="P16" s="220">
        <f>M16-N16</f>
        <v>191907</v>
      </c>
      <c r="Q16" s="221">
        <f t="shared" si="3"/>
        <v>6.4075936330141373E-3</v>
      </c>
      <c r="R16" s="222">
        <v>5110</v>
      </c>
      <c r="S16" s="223">
        <f t="shared" si="4"/>
        <v>3.2597622223540586E-3</v>
      </c>
      <c r="T16" s="224">
        <v>86575.867000000027</v>
      </c>
      <c r="U16" s="225">
        <f t="shared" si="5"/>
        <v>7.7205575948716118E-2</v>
      </c>
      <c r="V16" s="226">
        <v>23</v>
      </c>
      <c r="W16" s="227">
        <f t="shared" si="6"/>
        <v>4.4487427466150871E-2</v>
      </c>
      <c r="X16" s="228">
        <v>1</v>
      </c>
      <c r="Y16" s="229">
        <f t="shared" si="7"/>
        <v>0.39</v>
      </c>
      <c r="Z16" s="229">
        <f t="shared" si="29"/>
        <v>0.39</v>
      </c>
      <c r="AA16" s="229">
        <f t="shared" si="9"/>
        <v>4.3478260869565223E-2</v>
      </c>
      <c r="AB16" s="230">
        <f t="shared" si="10"/>
        <v>0</v>
      </c>
      <c r="AC16" s="242">
        <v>2</v>
      </c>
      <c r="AD16" s="231">
        <f t="shared" si="18"/>
        <v>4.3478260869565216E-2</v>
      </c>
      <c r="AE16" s="164">
        <v>1</v>
      </c>
      <c r="AF16" s="232">
        <f t="shared" si="34"/>
        <v>1</v>
      </c>
      <c r="AG16" s="233">
        <f t="shared" si="20"/>
        <v>4.3478260869565216E-2</v>
      </c>
      <c r="AH16" s="256">
        <f t="shared" si="11"/>
        <v>165300</v>
      </c>
      <c r="AI16" s="261">
        <v>359752</v>
      </c>
      <c r="AJ16" s="262">
        <f t="shared" si="30"/>
        <v>-194452</v>
      </c>
      <c r="AK16" s="52"/>
      <c r="AL16" s="254">
        <v>263519.03394913638</v>
      </c>
      <c r="AM16" s="235">
        <v>24153.017814334133</v>
      </c>
      <c r="AN16" s="234">
        <f t="shared" si="31"/>
        <v>452972.05176347052</v>
      </c>
      <c r="AO16" s="236">
        <f t="shared" si="32"/>
        <v>452971.05176347052</v>
      </c>
      <c r="AP16" s="241">
        <f t="shared" si="33"/>
        <v>452970.05176347052</v>
      </c>
      <c r="AQ16"/>
      <c r="AR16" s="165">
        <f t="shared" ref="AR16" si="36">SUM(AH16-AE16)</f>
        <v>165299</v>
      </c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</row>
    <row r="17" spans="1:44" ht="20.399999999999999" x14ac:dyDescent="0.25">
      <c r="A17" s="320" t="s">
        <v>38</v>
      </c>
      <c r="B17" s="323">
        <f t="shared" si="25"/>
        <v>165300</v>
      </c>
      <c r="C17" s="190">
        <v>554</v>
      </c>
      <c r="D17" s="191">
        <f t="shared" si="0"/>
        <v>4.6367592902577838E-2</v>
      </c>
      <c r="E17" s="192">
        <v>85</v>
      </c>
      <c r="F17" s="192">
        <v>6</v>
      </c>
      <c r="G17" s="192"/>
      <c r="H17" s="192"/>
      <c r="I17" s="192"/>
      <c r="J17" s="192"/>
      <c r="K17" s="193">
        <v>424</v>
      </c>
      <c r="L17" s="194">
        <f t="shared" si="1"/>
        <v>4.4948584755645074E-2</v>
      </c>
      <c r="M17" s="192">
        <v>1829501</v>
      </c>
      <c r="N17" s="195">
        <v>1586809</v>
      </c>
      <c r="O17" s="196">
        <f t="shared" si="2"/>
        <v>5.2275766876834835E-2</v>
      </c>
      <c r="P17" s="197">
        <f>M17-N17</f>
        <v>242692</v>
      </c>
      <c r="Q17" s="198">
        <f t="shared" si="3"/>
        <v>8.1032568587048256E-3</v>
      </c>
      <c r="R17" s="199">
        <v>9367</v>
      </c>
      <c r="S17" s="200">
        <f t="shared" si="4"/>
        <v>5.9753801833249444E-3</v>
      </c>
      <c r="T17" s="201">
        <v>43560.741000000002</v>
      </c>
      <c r="U17" s="202">
        <f t="shared" si="5"/>
        <v>3.8846068935790748E-2</v>
      </c>
      <c r="V17" s="203">
        <v>21</v>
      </c>
      <c r="W17" s="204">
        <f t="shared" si="6"/>
        <v>4.0618955512572531E-2</v>
      </c>
      <c r="X17" s="205">
        <v>1</v>
      </c>
      <c r="Y17" s="59">
        <f t="shared" si="7"/>
        <v>0.39</v>
      </c>
      <c r="Z17" s="59">
        <f t="shared" si="29"/>
        <v>0.39</v>
      </c>
      <c r="AA17" s="59">
        <f t="shared" si="9"/>
        <v>4.3478260869565223E-2</v>
      </c>
      <c r="AB17" s="206">
        <f t="shared" si="10"/>
        <v>0</v>
      </c>
      <c r="AC17" s="242">
        <v>2</v>
      </c>
      <c r="AD17" s="207">
        <f t="shared" si="18"/>
        <v>4.3478260869565216E-2</v>
      </c>
      <c r="AE17" s="164">
        <v>1</v>
      </c>
      <c r="AF17" s="208">
        <f>SUM(AC17-AE17)</f>
        <v>1</v>
      </c>
      <c r="AG17" s="209">
        <f t="shared" si="20"/>
        <v>4.3478260869565216E-2</v>
      </c>
      <c r="AH17" s="255">
        <f t="shared" si="11"/>
        <v>165300</v>
      </c>
      <c r="AI17" s="261">
        <v>275892</v>
      </c>
      <c r="AJ17" s="262">
        <f t="shared" si="30"/>
        <v>-110592</v>
      </c>
      <c r="AK17" s="52"/>
      <c r="AL17" s="210">
        <v>89367.460519028464</v>
      </c>
      <c r="AM17" s="211">
        <v>16147.078597460191</v>
      </c>
      <c r="AN17" s="210">
        <f t="shared" si="31"/>
        <v>270814.53911648865</v>
      </c>
      <c r="AO17" s="212">
        <f t="shared" si="32"/>
        <v>270813.53911648865</v>
      </c>
      <c r="AP17" s="212">
        <f t="shared" si="33"/>
        <v>270812.53911648865</v>
      </c>
      <c r="AR17" s="165">
        <f t="shared" si="16"/>
        <v>165299</v>
      </c>
    </row>
    <row r="18" spans="1:44" ht="21" thickBot="1" x14ac:dyDescent="0.3">
      <c r="A18" s="320" t="s">
        <v>39</v>
      </c>
      <c r="B18" s="323">
        <f t="shared" si="25"/>
        <v>165300</v>
      </c>
      <c r="C18" s="140">
        <v>247</v>
      </c>
      <c r="D18" s="170">
        <f t="shared" si="0"/>
        <v>2.0672915969199866E-2</v>
      </c>
      <c r="E18" s="171">
        <v>13</v>
      </c>
      <c r="F18" s="171">
        <v>1</v>
      </c>
      <c r="G18" s="171">
        <v>7</v>
      </c>
      <c r="H18" s="171"/>
      <c r="I18" s="171"/>
      <c r="J18" s="171"/>
      <c r="K18" s="172">
        <v>182</v>
      </c>
      <c r="L18" s="173">
        <f t="shared" si="1"/>
        <v>1.9293967984734442E-2</v>
      </c>
      <c r="M18" s="171">
        <v>1534655</v>
      </c>
      <c r="N18" s="102">
        <v>1290373</v>
      </c>
      <c r="O18" s="174">
        <f t="shared" si="2"/>
        <v>4.2509992149125694E-2</v>
      </c>
      <c r="P18" s="175">
        <f t="shared" ref="P18" si="37">M18-N18</f>
        <v>244282</v>
      </c>
      <c r="Q18" s="176">
        <f t="shared" si="3"/>
        <v>8.1563454582686372E-3</v>
      </c>
      <c r="R18" s="177">
        <v>4159</v>
      </c>
      <c r="S18" s="178">
        <f t="shared" si="4"/>
        <v>2.6531019731449177E-3</v>
      </c>
      <c r="T18" s="179">
        <v>46381.356</v>
      </c>
      <c r="U18" s="180">
        <f t="shared" si="5"/>
        <v>4.1361402748209715E-2</v>
      </c>
      <c r="V18" s="181">
        <v>21</v>
      </c>
      <c r="W18" s="182">
        <f t="shared" si="6"/>
        <v>4.0618955512572531E-2</v>
      </c>
      <c r="X18" s="112">
        <v>1</v>
      </c>
      <c r="Y18" s="113">
        <f t="shared" si="7"/>
        <v>0.39</v>
      </c>
      <c r="Z18" s="113">
        <f t="shared" si="29"/>
        <v>0.39</v>
      </c>
      <c r="AA18" s="113">
        <f t="shared" si="9"/>
        <v>4.3478260869565223E-2</v>
      </c>
      <c r="AB18" s="183">
        <f t="shared" si="10"/>
        <v>0</v>
      </c>
      <c r="AC18" s="242">
        <v>2</v>
      </c>
      <c r="AD18" s="184">
        <f t="shared" si="18"/>
        <v>4.3478260869565216E-2</v>
      </c>
      <c r="AE18" s="164">
        <v>1</v>
      </c>
      <c r="AF18" s="185">
        <f t="shared" si="34"/>
        <v>1</v>
      </c>
      <c r="AG18" s="186">
        <f t="shared" si="20"/>
        <v>4.3478260869565216E-2</v>
      </c>
      <c r="AH18" s="255">
        <f t="shared" si="11"/>
        <v>165300</v>
      </c>
      <c r="AI18" s="261">
        <v>92317</v>
      </c>
      <c r="AJ18" s="262">
        <f t="shared" si="30"/>
        <v>72983</v>
      </c>
      <c r="AK18" s="52"/>
      <c r="AL18" s="53">
        <v>150120.11694994153</v>
      </c>
      <c r="AM18" s="54">
        <v>16961.905975550635</v>
      </c>
      <c r="AN18" s="53">
        <f t="shared" si="31"/>
        <v>332382.02292549214</v>
      </c>
      <c r="AO18" s="55">
        <f t="shared" si="32"/>
        <v>332381.02292549214</v>
      </c>
      <c r="AP18" s="55">
        <f t="shared" si="33"/>
        <v>332380.02292549214</v>
      </c>
      <c r="AR18" s="165">
        <f t="shared" si="16"/>
        <v>165299</v>
      </c>
    </row>
    <row r="19" spans="1:44" ht="20.399999999999999" x14ac:dyDescent="0.25">
      <c r="A19" s="320" t="s">
        <v>40</v>
      </c>
      <c r="B19" s="323">
        <f t="shared" si="25"/>
        <v>165300</v>
      </c>
      <c r="C19" s="213">
        <v>384</v>
      </c>
      <c r="D19" s="214">
        <f t="shared" si="0"/>
        <v>3.2139270170739871E-2</v>
      </c>
      <c r="E19" s="215">
        <v>59</v>
      </c>
      <c r="F19" s="215">
        <v>9</v>
      </c>
      <c r="G19" s="215">
        <v>1</v>
      </c>
      <c r="H19" s="215">
        <v>1</v>
      </c>
      <c r="I19" s="215"/>
      <c r="J19" s="215"/>
      <c r="K19" s="216">
        <v>300</v>
      </c>
      <c r="L19" s="217">
        <f t="shared" si="1"/>
        <v>3.1803243930880951E-2</v>
      </c>
      <c r="M19" s="215">
        <v>2723023</v>
      </c>
      <c r="N19" s="218">
        <v>2447448</v>
      </c>
      <c r="O19" s="219">
        <f t="shared" si="2"/>
        <v>8.0628620767323383E-2</v>
      </c>
      <c r="P19" s="220">
        <f>M19-N19</f>
        <v>275575</v>
      </c>
      <c r="Q19" s="221">
        <f t="shared" si="3"/>
        <v>9.2011891979858519E-3</v>
      </c>
      <c r="R19" s="222">
        <v>65241</v>
      </c>
      <c r="S19" s="223">
        <f t="shared" si="4"/>
        <v>4.1618424099530558E-2</v>
      </c>
      <c r="T19" s="224">
        <v>95546.688999999969</v>
      </c>
      <c r="U19" s="225">
        <f t="shared" si="5"/>
        <v>8.5205466717853992E-2</v>
      </c>
      <c r="V19" s="226">
        <v>21</v>
      </c>
      <c r="W19" s="227">
        <f t="shared" si="6"/>
        <v>4.0618955512572531E-2</v>
      </c>
      <c r="X19" s="228">
        <v>1</v>
      </c>
      <c r="Y19" s="229">
        <f t="shared" si="7"/>
        <v>0.39</v>
      </c>
      <c r="Z19" s="229">
        <f t="shared" si="29"/>
        <v>0.39</v>
      </c>
      <c r="AA19" s="229">
        <f t="shared" si="9"/>
        <v>4.3478260869565223E-2</v>
      </c>
      <c r="AB19" s="230">
        <f t="shared" si="10"/>
        <v>0</v>
      </c>
      <c r="AC19" s="242">
        <v>2</v>
      </c>
      <c r="AD19" s="231">
        <f t="shared" si="18"/>
        <v>4.3478260869565216E-2</v>
      </c>
      <c r="AE19" s="164">
        <v>1</v>
      </c>
      <c r="AF19" s="232">
        <f>SUM(AC19-AE19)</f>
        <v>1</v>
      </c>
      <c r="AG19" s="233">
        <f t="shared" si="20"/>
        <v>4.3478260869565216E-2</v>
      </c>
      <c r="AH19" s="256">
        <f t="shared" si="11"/>
        <v>165300</v>
      </c>
      <c r="AI19" s="261">
        <v>396714</v>
      </c>
      <c r="AJ19" s="262">
        <f t="shared" si="30"/>
        <v>-231414</v>
      </c>
      <c r="AK19" s="52"/>
      <c r="AL19" s="53">
        <v>121358.80286012053</v>
      </c>
      <c r="AM19" s="54">
        <v>31710.777479096367</v>
      </c>
      <c r="AN19" s="53">
        <f t="shared" si="31"/>
        <v>318369.58033921692</v>
      </c>
      <c r="AO19" s="55">
        <f t="shared" si="32"/>
        <v>318368.58033921692</v>
      </c>
      <c r="AP19" s="55">
        <f t="shared" si="33"/>
        <v>318367.58033921692</v>
      </c>
      <c r="AR19" s="165">
        <f t="shared" si="16"/>
        <v>165299</v>
      </c>
    </row>
    <row r="20" spans="1:44" ht="20.399999999999999" x14ac:dyDescent="0.25">
      <c r="A20" s="320" t="s">
        <v>41</v>
      </c>
      <c r="B20" s="323">
        <f t="shared" si="25"/>
        <v>165300</v>
      </c>
      <c r="C20" s="141">
        <v>430</v>
      </c>
      <c r="D20" s="95">
        <f t="shared" si="0"/>
        <v>3.5989286909943088E-2</v>
      </c>
      <c r="E20" s="38">
        <v>34</v>
      </c>
      <c r="F20" s="38">
        <v>8</v>
      </c>
      <c r="G20" s="38">
        <v>8</v>
      </c>
      <c r="H20" s="38">
        <v>6</v>
      </c>
      <c r="I20" s="38"/>
      <c r="J20" s="38"/>
      <c r="K20" s="39">
        <v>396</v>
      </c>
      <c r="L20" s="40">
        <f t="shared" si="1"/>
        <v>4.1980281988762851E-2</v>
      </c>
      <c r="M20" s="38">
        <v>3417525</v>
      </c>
      <c r="N20" s="56">
        <v>1691017</v>
      </c>
      <c r="O20" s="41">
        <f t="shared" si="2"/>
        <v>5.5708790709382547E-2</v>
      </c>
      <c r="P20" s="42">
        <f t="shared" ref="P20:P22" si="38">M20-N20</f>
        <v>1726508</v>
      </c>
      <c r="Q20" s="43">
        <f t="shared" si="3"/>
        <v>5.7646472865231453E-2</v>
      </c>
      <c r="R20" s="44">
        <v>44293</v>
      </c>
      <c r="S20" s="45">
        <f t="shared" si="4"/>
        <v>2.8255312742608282E-2</v>
      </c>
      <c r="T20" s="46">
        <v>61800.712999999945</v>
      </c>
      <c r="U20" s="47">
        <f t="shared" si="5"/>
        <v>5.5111889797260727E-2</v>
      </c>
      <c r="V20" s="48">
        <v>20</v>
      </c>
      <c r="W20" s="49">
        <f t="shared" si="6"/>
        <v>3.8684719535783368E-2</v>
      </c>
      <c r="X20" s="112">
        <v>1</v>
      </c>
      <c r="Y20" s="37">
        <f t="shared" si="7"/>
        <v>0.39</v>
      </c>
      <c r="Z20" s="37">
        <f t="shared" si="29"/>
        <v>0.39</v>
      </c>
      <c r="AA20" s="37">
        <f t="shared" si="9"/>
        <v>4.3478260869565223E-2</v>
      </c>
      <c r="AB20" s="145">
        <f t="shared" si="10"/>
        <v>0</v>
      </c>
      <c r="AC20" s="242">
        <v>2</v>
      </c>
      <c r="AD20" s="57">
        <f t="shared" si="18"/>
        <v>4.3478260869565216E-2</v>
      </c>
      <c r="AE20" s="164">
        <v>1</v>
      </c>
      <c r="AF20" s="50">
        <f>SUM(AC20-AE20)</f>
        <v>1</v>
      </c>
      <c r="AG20" s="51">
        <f t="shared" si="20"/>
        <v>4.3478260869565216E-2</v>
      </c>
      <c r="AH20" s="255">
        <f t="shared" si="11"/>
        <v>165300</v>
      </c>
      <c r="AI20" s="261">
        <v>235465</v>
      </c>
      <c r="AJ20" s="262">
        <f t="shared" si="30"/>
        <v>-70165</v>
      </c>
      <c r="AK20" s="52"/>
      <c r="AL20" s="53">
        <v>239997.39593958465</v>
      </c>
      <c r="AM20" s="54">
        <v>29527.109390121412</v>
      </c>
      <c r="AN20" s="53">
        <f t="shared" si="31"/>
        <v>434824.50532970607</v>
      </c>
      <c r="AO20" s="55">
        <f t="shared" si="32"/>
        <v>434823.50532970607</v>
      </c>
      <c r="AP20" s="55">
        <f t="shared" si="33"/>
        <v>434822.50532970607</v>
      </c>
      <c r="AR20" s="165">
        <f t="shared" si="16"/>
        <v>165299</v>
      </c>
    </row>
    <row r="21" spans="1:44" ht="21" thickBot="1" x14ac:dyDescent="0.3">
      <c r="A21" s="320" t="s">
        <v>42</v>
      </c>
      <c r="B21" s="323">
        <f t="shared" si="25"/>
        <v>165300</v>
      </c>
      <c r="C21" s="140">
        <v>242</v>
      </c>
      <c r="D21" s="170">
        <f t="shared" si="0"/>
        <v>2.0254435888851691E-2</v>
      </c>
      <c r="E21" s="171">
        <v>17</v>
      </c>
      <c r="F21" s="171">
        <v>1</v>
      </c>
      <c r="G21" s="171"/>
      <c r="H21" s="171"/>
      <c r="I21" s="171"/>
      <c r="J21" s="171"/>
      <c r="K21" s="172">
        <v>186</v>
      </c>
      <c r="L21" s="173">
        <f t="shared" si="1"/>
        <v>1.9718011237146189E-2</v>
      </c>
      <c r="M21" s="171">
        <v>1680502</v>
      </c>
      <c r="N21" s="102">
        <v>1358802</v>
      </c>
      <c r="O21" s="174">
        <f t="shared" si="2"/>
        <v>4.4764314157391925E-2</v>
      </c>
      <c r="P21" s="175">
        <f t="shared" si="38"/>
        <v>321700</v>
      </c>
      <c r="Q21" s="176">
        <f t="shared" si="3"/>
        <v>1.0741259421181343E-2</v>
      </c>
      <c r="R21" s="177">
        <v>10470</v>
      </c>
      <c r="S21" s="178">
        <f t="shared" si="4"/>
        <v>6.6790040054886483E-3</v>
      </c>
      <c r="T21" s="179">
        <v>57859.338000000011</v>
      </c>
      <c r="U21" s="180">
        <f t="shared" si="5"/>
        <v>5.1597098234100684E-2</v>
      </c>
      <c r="V21" s="181">
        <v>25</v>
      </c>
      <c r="W21" s="182">
        <f t="shared" si="6"/>
        <v>4.8355899419729204E-2</v>
      </c>
      <c r="X21" s="112">
        <v>1</v>
      </c>
      <c r="Y21" s="113">
        <f t="shared" si="7"/>
        <v>0.39</v>
      </c>
      <c r="Z21" s="113">
        <f t="shared" si="29"/>
        <v>0.39</v>
      </c>
      <c r="AA21" s="113">
        <f t="shared" si="9"/>
        <v>4.3478260869565223E-2</v>
      </c>
      <c r="AB21" s="183">
        <f t="shared" si="10"/>
        <v>0</v>
      </c>
      <c r="AC21" s="242">
        <v>2</v>
      </c>
      <c r="AD21" s="184">
        <f t="shared" si="18"/>
        <v>4.3478260869565216E-2</v>
      </c>
      <c r="AE21" s="164">
        <v>1</v>
      </c>
      <c r="AF21" s="185">
        <f t="shared" si="34"/>
        <v>1</v>
      </c>
      <c r="AG21" s="186">
        <f t="shared" si="20"/>
        <v>4.3478260869565216E-2</v>
      </c>
      <c r="AH21" s="255">
        <f t="shared" si="11"/>
        <v>165300</v>
      </c>
      <c r="AI21" s="261">
        <v>248343</v>
      </c>
      <c r="AJ21" s="262">
        <f t="shared" si="30"/>
        <v>-83043</v>
      </c>
      <c r="AK21" s="52"/>
      <c r="AL21" s="53">
        <v>88991.741336289473</v>
      </c>
      <c r="AM21" s="54">
        <v>23751.149617687206</v>
      </c>
      <c r="AN21" s="53">
        <f t="shared" si="31"/>
        <v>278042.89095397666</v>
      </c>
      <c r="AO21" s="55">
        <f t="shared" si="32"/>
        <v>278041.89095397666</v>
      </c>
      <c r="AP21" s="55">
        <f t="shared" si="33"/>
        <v>278040.89095397666</v>
      </c>
      <c r="AR21" s="165">
        <f t="shared" si="16"/>
        <v>165299</v>
      </c>
    </row>
    <row r="22" spans="1:44" ht="20.399999999999999" x14ac:dyDescent="0.25">
      <c r="A22" s="320" t="s">
        <v>43</v>
      </c>
      <c r="B22" s="323">
        <f t="shared" si="25"/>
        <v>165300</v>
      </c>
      <c r="C22" s="213">
        <v>451</v>
      </c>
      <c r="D22" s="214">
        <f t="shared" si="0"/>
        <v>3.7746903247405421E-2</v>
      </c>
      <c r="E22" s="215">
        <v>48</v>
      </c>
      <c r="F22" s="215">
        <v>12</v>
      </c>
      <c r="G22" s="215"/>
      <c r="H22" s="215"/>
      <c r="I22" s="215"/>
      <c r="J22" s="215">
        <v>6</v>
      </c>
      <c r="K22" s="216">
        <v>375</v>
      </c>
      <c r="L22" s="217">
        <f t="shared" si="1"/>
        <v>3.9754054913601185E-2</v>
      </c>
      <c r="M22" s="215">
        <v>2733932</v>
      </c>
      <c r="N22" s="218">
        <v>1964445</v>
      </c>
      <c r="O22" s="219">
        <f t="shared" si="2"/>
        <v>6.4716590882937894E-2</v>
      </c>
      <c r="P22" s="220">
        <f t="shared" si="38"/>
        <v>769487</v>
      </c>
      <c r="Q22" s="221">
        <f t="shared" si="3"/>
        <v>2.5692444787772981E-2</v>
      </c>
      <c r="R22" s="222">
        <v>109508</v>
      </c>
      <c r="S22" s="223">
        <f t="shared" si="4"/>
        <v>6.9857150967817666E-2</v>
      </c>
      <c r="T22" s="224">
        <v>37394.766000000003</v>
      </c>
      <c r="U22" s="225">
        <f t="shared" si="5"/>
        <v>3.3347450583399489E-2</v>
      </c>
      <c r="V22" s="226">
        <v>23</v>
      </c>
      <c r="W22" s="227">
        <f t="shared" si="6"/>
        <v>4.4487427466150871E-2</v>
      </c>
      <c r="X22" s="228">
        <v>1</v>
      </c>
      <c r="Y22" s="229">
        <f t="shared" si="7"/>
        <v>0.39</v>
      </c>
      <c r="Z22" s="229">
        <f t="shared" si="29"/>
        <v>0.39</v>
      </c>
      <c r="AA22" s="229">
        <f t="shared" si="9"/>
        <v>4.3478260869565223E-2</v>
      </c>
      <c r="AB22" s="230">
        <f t="shared" si="10"/>
        <v>0</v>
      </c>
      <c r="AC22" s="242">
        <v>2</v>
      </c>
      <c r="AD22" s="231">
        <f t="shared" si="18"/>
        <v>4.3478260869565216E-2</v>
      </c>
      <c r="AE22" s="164">
        <v>1</v>
      </c>
      <c r="AF22" s="232">
        <f>SUM(AC22-AE22)</f>
        <v>1</v>
      </c>
      <c r="AG22" s="233">
        <f t="shared" si="20"/>
        <v>4.3478260869565216E-2</v>
      </c>
      <c r="AH22" s="256">
        <f t="shared" si="11"/>
        <v>165300</v>
      </c>
      <c r="AI22" s="261">
        <v>275173</v>
      </c>
      <c r="AJ22" s="262">
        <f t="shared" si="30"/>
        <v>-109873</v>
      </c>
      <c r="AK22" s="52"/>
      <c r="AL22" s="53">
        <v>149220.36087263393</v>
      </c>
      <c r="AM22" s="54">
        <v>36173.137112345874</v>
      </c>
      <c r="AN22" s="53">
        <f t="shared" si="31"/>
        <v>350693.49798497983</v>
      </c>
      <c r="AO22" s="55">
        <f t="shared" si="32"/>
        <v>350692.49798497983</v>
      </c>
      <c r="AP22" s="55">
        <f t="shared" si="33"/>
        <v>350691.49798497983</v>
      </c>
      <c r="AR22" s="165">
        <f t="shared" si="16"/>
        <v>165299</v>
      </c>
    </row>
    <row r="23" spans="1:44" ht="21" thickBot="1" x14ac:dyDescent="0.3">
      <c r="A23" s="320" t="s">
        <v>44</v>
      </c>
      <c r="B23" s="323">
        <f t="shared" si="25"/>
        <v>165300</v>
      </c>
      <c r="C23" s="140">
        <v>345</v>
      </c>
      <c r="D23" s="170">
        <f t="shared" si="0"/>
        <v>2.8875125544024105E-2</v>
      </c>
      <c r="E23" s="171">
        <v>28</v>
      </c>
      <c r="F23" s="171">
        <v>2</v>
      </c>
      <c r="G23" s="171">
        <v>6</v>
      </c>
      <c r="H23" s="171"/>
      <c r="I23" s="171"/>
      <c r="J23" s="171"/>
      <c r="K23" s="172">
        <v>313</v>
      </c>
      <c r="L23" s="173">
        <f t="shared" si="1"/>
        <v>3.3181384501219123E-2</v>
      </c>
      <c r="M23" s="171">
        <v>5053532</v>
      </c>
      <c r="N23" s="102">
        <v>2374154</v>
      </c>
      <c r="O23" s="174">
        <f t="shared" si="2"/>
        <v>7.8214026410049931E-2</v>
      </c>
      <c r="P23" s="175">
        <f>M23-N23</f>
        <v>2679378</v>
      </c>
      <c r="Q23" s="176">
        <f t="shared" si="3"/>
        <v>8.9461902969866405E-2</v>
      </c>
      <c r="R23" s="177">
        <v>187434</v>
      </c>
      <c r="S23" s="178">
        <f t="shared" si="4"/>
        <v>0.11956756798135237</v>
      </c>
      <c r="T23" s="179">
        <v>52158.99700000001</v>
      </c>
      <c r="U23" s="180">
        <f t="shared" si="5"/>
        <v>4.6513717319081029E-2</v>
      </c>
      <c r="V23" s="181">
        <v>23</v>
      </c>
      <c r="W23" s="182">
        <f t="shared" si="6"/>
        <v>4.4487427466150871E-2</v>
      </c>
      <c r="X23" s="112">
        <v>1</v>
      </c>
      <c r="Y23" s="113">
        <f t="shared" si="7"/>
        <v>0.39</v>
      </c>
      <c r="Z23" s="113">
        <f t="shared" si="8"/>
        <v>0.39</v>
      </c>
      <c r="AA23" s="113">
        <f t="shared" si="9"/>
        <v>4.3478260869565223E-2</v>
      </c>
      <c r="AB23" s="183">
        <f t="shared" si="10"/>
        <v>0</v>
      </c>
      <c r="AC23" s="242">
        <v>2</v>
      </c>
      <c r="AD23" s="184">
        <f t="shared" si="18"/>
        <v>4.3478260869565216E-2</v>
      </c>
      <c r="AE23" s="164">
        <v>1</v>
      </c>
      <c r="AF23" s="185">
        <f t="shared" ref="AF23:AF24" si="39">AC23-AE23</f>
        <v>1</v>
      </c>
      <c r="AG23" s="186">
        <f t="shared" si="20"/>
        <v>4.3478260869565216E-2</v>
      </c>
      <c r="AH23" s="255">
        <f t="shared" si="11"/>
        <v>165300</v>
      </c>
      <c r="AI23" s="261">
        <v>262878</v>
      </c>
      <c r="AJ23" s="262">
        <f t="shared" si="12"/>
        <v>-97578</v>
      </c>
      <c r="AK23" s="52"/>
      <c r="AL23" s="53">
        <v>315266.33194410685</v>
      </c>
      <c r="AM23" s="54">
        <v>34017.428742528311</v>
      </c>
      <c r="AN23" s="53">
        <f t="shared" si="13"/>
        <v>514583.76068663516</v>
      </c>
      <c r="AO23" s="55">
        <f t="shared" si="14"/>
        <v>514582.76068663516</v>
      </c>
      <c r="AP23" s="55">
        <f t="shared" si="15"/>
        <v>514581.76068663516</v>
      </c>
      <c r="AR23" s="165">
        <f t="shared" si="16"/>
        <v>165299</v>
      </c>
    </row>
    <row r="24" spans="1:44" ht="20.399999999999999" x14ac:dyDescent="0.25">
      <c r="A24" s="320" t="s">
        <v>45</v>
      </c>
      <c r="B24" s="323">
        <f t="shared" si="25"/>
        <v>165300</v>
      </c>
      <c r="C24" s="213">
        <v>842</v>
      </c>
      <c r="D24" s="214">
        <f t="shared" si="0"/>
        <v>7.0472045530632743E-2</v>
      </c>
      <c r="E24" s="215">
        <v>104</v>
      </c>
      <c r="F24" s="215">
        <v>10</v>
      </c>
      <c r="G24" s="215"/>
      <c r="H24" s="215">
        <v>1</v>
      </c>
      <c r="I24" s="215">
        <v>4</v>
      </c>
      <c r="J24" s="215"/>
      <c r="K24" s="216">
        <v>710</v>
      </c>
      <c r="L24" s="217">
        <f t="shared" si="1"/>
        <v>7.5267677303084909E-2</v>
      </c>
      <c r="M24" s="215">
        <v>1424261</v>
      </c>
      <c r="N24" s="218">
        <v>1370277</v>
      </c>
      <c r="O24" s="219">
        <f t="shared" si="2"/>
        <v>4.5142346059726536E-2</v>
      </c>
      <c r="P24" s="220">
        <f t="shared" ref="P24:P26" si="40">M24-N24</f>
        <v>53984</v>
      </c>
      <c r="Q24" s="221">
        <f t="shared" si="3"/>
        <v>1.8024748168885721E-3</v>
      </c>
      <c r="R24" s="222">
        <v>118408</v>
      </c>
      <c r="S24" s="223">
        <f t="shared" si="4"/>
        <v>7.5534623331604572E-2</v>
      </c>
      <c r="T24" s="224">
        <v>29793.49</v>
      </c>
      <c r="U24" s="225">
        <f t="shared" si="5"/>
        <v>2.6568876924701355E-2</v>
      </c>
      <c r="V24" s="226">
        <v>24</v>
      </c>
      <c r="W24" s="227">
        <f t="shared" si="6"/>
        <v>4.6421663442940041E-2</v>
      </c>
      <c r="X24" s="228">
        <v>1</v>
      </c>
      <c r="Y24" s="229">
        <f t="shared" si="7"/>
        <v>0.39</v>
      </c>
      <c r="Z24" s="229">
        <f t="shared" si="8"/>
        <v>0.39</v>
      </c>
      <c r="AA24" s="229">
        <f t="shared" si="9"/>
        <v>4.3478260869565223E-2</v>
      </c>
      <c r="AB24" s="230">
        <f t="shared" si="10"/>
        <v>0</v>
      </c>
      <c r="AC24" s="242">
        <v>2</v>
      </c>
      <c r="AD24" s="231">
        <f t="shared" si="18"/>
        <v>4.3478260869565216E-2</v>
      </c>
      <c r="AE24" s="164">
        <v>1</v>
      </c>
      <c r="AF24" s="232">
        <f t="shared" si="39"/>
        <v>1</v>
      </c>
      <c r="AG24" s="233">
        <f t="shared" si="20"/>
        <v>4.3478260869565216E-2</v>
      </c>
      <c r="AH24" s="256">
        <f t="shared" si="11"/>
        <v>165300</v>
      </c>
      <c r="AI24" s="261">
        <v>355832</v>
      </c>
      <c r="AJ24" s="262">
        <f t="shared" si="12"/>
        <v>-190532</v>
      </c>
      <c r="AK24" s="52"/>
      <c r="AL24" s="53"/>
      <c r="AM24" s="54">
        <v>38174.675782351689</v>
      </c>
      <c r="AN24" s="53">
        <f t="shared" si="13"/>
        <v>203474.6757823517</v>
      </c>
      <c r="AO24" s="55">
        <f t="shared" si="14"/>
        <v>203473.6757823517</v>
      </c>
      <c r="AP24" s="55">
        <f t="shared" si="15"/>
        <v>203472.6757823517</v>
      </c>
      <c r="AR24" s="165">
        <f t="shared" si="16"/>
        <v>165299</v>
      </c>
    </row>
    <row r="25" spans="1:44" ht="20.399999999999999" x14ac:dyDescent="0.25">
      <c r="A25" s="320" t="s">
        <v>46</v>
      </c>
      <c r="B25" s="323">
        <f t="shared" si="25"/>
        <v>165300</v>
      </c>
      <c r="C25" s="141">
        <v>999</v>
      </c>
      <c r="D25" s="95">
        <f t="shared" si="0"/>
        <v>8.3612320053565448E-2</v>
      </c>
      <c r="E25" s="38">
        <v>98</v>
      </c>
      <c r="F25" s="38">
        <v>16</v>
      </c>
      <c r="G25" s="38">
        <v>18</v>
      </c>
      <c r="H25" s="38"/>
      <c r="I25" s="38"/>
      <c r="J25" s="38"/>
      <c r="K25" s="39">
        <v>806</v>
      </c>
      <c r="L25" s="40">
        <f t="shared" si="1"/>
        <v>8.5444715360966816E-2</v>
      </c>
      <c r="M25" s="38">
        <v>1719025</v>
      </c>
      <c r="N25" s="56">
        <v>1676034</v>
      </c>
      <c r="O25" s="41">
        <f t="shared" si="2"/>
        <v>5.5215191407188259E-2</v>
      </c>
      <c r="P25" s="42">
        <f t="shared" si="40"/>
        <v>42991</v>
      </c>
      <c r="Q25" s="43">
        <f t="shared" si="3"/>
        <v>1.4354289206590211E-3</v>
      </c>
      <c r="R25" s="44">
        <v>67134</v>
      </c>
      <c r="S25" s="45">
        <f t="shared" si="4"/>
        <v>4.2826003333760736E-2</v>
      </c>
      <c r="T25" s="46">
        <v>41343.843000000001</v>
      </c>
      <c r="U25" s="47">
        <f t="shared" si="5"/>
        <v>3.6869110542644572E-2</v>
      </c>
      <c r="V25" s="48">
        <v>24</v>
      </c>
      <c r="W25" s="49">
        <f t="shared" si="6"/>
        <v>4.6421663442940041E-2</v>
      </c>
      <c r="X25" s="112">
        <v>1</v>
      </c>
      <c r="Y25" s="37">
        <f t="shared" si="7"/>
        <v>0.39</v>
      </c>
      <c r="Z25" s="37">
        <f t="shared" si="8"/>
        <v>0.39</v>
      </c>
      <c r="AA25" s="37">
        <f t="shared" si="9"/>
        <v>4.3478260869565223E-2</v>
      </c>
      <c r="AB25" s="145">
        <f t="shared" si="10"/>
        <v>0</v>
      </c>
      <c r="AC25" s="242">
        <v>2</v>
      </c>
      <c r="AD25" s="57">
        <f t="shared" si="18"/>
        <v>4.3478260869565216E-2</v>
      </c>
      <c r="AE25" s="164">
        <v>1</v>
      </c>
      <c r="AF25" s="50">
        <f>SUM(AC25-AE25)</f>
        <v>1</v>
      </c>
      <c r="AG25" s="51">
        <f>AF25/$AF$27</f>
        <v>4.3478260869565216E-2</v>
      </c>
      <c r="AH25" s="255">
        <f t="shared" si="11"/>
        <v>165300</v>
      </c>
      <c r="AI25" s="261">
        <v>399349</v>
      </c>
      <c r="AJ25" s="262">
        <f t="shared" si="12"/>
        <v>-234049</v>
      </c>
      <c r="AK25" s="52"/>
      <c r="AL25" s="53"/>
      <c r="AM25" s="54">
        <v>192199.59865078932</v>
      </c>
      <c r="AN25" s="53">
        <f t="shared" si="13"/>
        <v>357499.59865078935</v>
      </c>
      <c r="AO25" s="55">
        <f t="shared" si="14"/>
        <v>357498.59865078935</v>
      </c>
      <c r="AP25" s="55">
        <f t="shared" si="15"/>
        <v>357497.59865078935</v>
      </c>
      <c r="AR25" s="165">
        <f t="shared" si="16"/>
        <v>165299</v>
      </c>
    </row>
    <row r="26" spans="1:44" ht="21" thickBot="1" x14ac:dyDescent="0.3">
      <c r="A26" s="320" t="s">
        <v>47</v>
      </c>
      <c r="B26" s="323">
        <f>AH26</f>
        <v>165300</v>
      </c>
      <c r="C26" s="142">
        <v>505</v>
      </c>
      <c r="D26" s="96">
        <f t="shared" si="0"/>
        <v>4.2266488115165715E-2</v>
      </c>
      <c r="E26" s="77">
        <v>76</v>
      </c>
      <c r="F26" s="77">
        <v>10</v>
      </c>
      <c r="G26" s="77"/>
      <c r="H26" s="77"/>
      <c r="I26" s="77"/>
      <c r="J26" s="77"/>
      <c r="K26" s="78">
        <v>422</v>
      </c>
      <c r="L26" s="79">
        <f t="shared" si="1"/>
        <v>4.4736563129439202E-2</v>
      </c>
      <c r="M26" s="77">
        <v>1334355</v>
      </c>
      <c r="N26" s="80">
        <v>1224330</v>
      </c>
      <c r="O26" s="81">
        <f t="shared" si="2"/>
        <v>4.0334274421379761E-2</v>
      </c>
      <c r="P26" s="82">
        <f t="shared" si="40"/>
        <v>110025</v>
      </c>
      <c r="Q26" s="83">
        <f t="shared" si="3"/>
        <v>3.6736309226468051E-3</v>
      </c>
      <c r="R26" s="84">
        <v>58948</v>
      </c>
      <c r="S26" s="85">
        <f t="shared" si="4"/>
        <v>3.7604004595563026E-2</v>
      </c>
      <c r="T26" s="86">
        <v>48060.128999999986</v>
      </c>
      <c r="U26" s="87">
        <f t="shared" si="5"/>
        <v>4.2858478559788395E-2</v>
      </c>
      <c r="V26" s="88">
        <v>24</v>
      </c>
      <c r="W26" s="89">
        <f t="shared" si="6"/>
        <v>4.6421663442940041E-2</v>
      </c>
      <c r="X26" s="239">
        <v>1</v>
      </c>
      <c r="Y26" s="90">
        <f t="shared" si="7"/>
        <v>0.39</v>
      </c>
      <c r="Z26" s="90">
        <f t="shared" si="8"/>
        <v>0.39</v>
      </c>
      <c r="AA26" s="90">
        <f t="shared" si="9"/>
        <v>4.3478260869565223E-2</v>
      </c>
      <c r="AB26" s="146">
        <f t="shared" si="10"/>
        <v>0</v>
      </c>
      <c r="AC26" s="242">
        <v>2</v>
      </c>
      <c r="AD26" s="91">
        <f t="shared" si="18"/>
        <v>4.3478260869565216E-2</v>
      </c>
      <c r="AE26" s="164">
        <v>1</v>
      </c>
      <c r="AF26" s="92">
        <f>AC26-AE26</f>
        <v>1</v>
      </c>
      <c r="AG26" s="93">
        <f t="shared" si="20"/>
        <v>4.3478260869565216E-2</v>
      </c>
      <c r="AH26" s="255">
        <f t="shared" si="11"/>
        <v>165300</v>
      </c>
      <c r="AI26" s="263">
        <v>382170</v>
      </c>
      <c r="AJ26" s="264">
        <f t="shared" si="12"/>
        <v>-216870</v>
      </c>
      <c r="AK26" s="52"/>
      <c r="AL26" s="53"/>
      <c r="AM26" s="54">
        <v>30436.52911895475</v>
      </c>
      <c r="AN26" s="53">
        <f t="shared" si="13"/>
        <v>195736.52911895476</v>
      </c>
      <c r="AO26" s="55">
        <f t="shared" si="14"/>
        <v>195735.52911895476</v>
      </c>
      <c r="AP26" s="55">
        <f t="shared" si="15"/>
        <v>195734.52911895476</v>
      </c>
      <c r="AR26" s="165">
        <f t="shared" si="16"/>
        <v>165299</v>
      </c>
    </row>
    <row r="27" spans="1:44" ht="21" thickBot="1" x14ac:dyDescent="0.3">
      <c r="A27" s="321" t="s">
        <v>15</v>
      </c>
      <c r="B27" s="324">
        <f t="shared" ref="B27:W27" si="41">SUM(B4:B26)</f>
        <v>3801900</v>
      </c>
      <c r="C27" s="118">
        <f t="shared" si="41"/>
        <v>11948</v>
      </c>
      <c r="D27" s="118">
        <f t="shared" si="41"/>
        <v>1</v>
      </c>
      <c r="E27" s="117">
        <f t="shared" si="41"/>
        <v>1400</v>
      </c>
      <c r="F27" s="117">
        <f t="shared" si="41"/>
        <v>152</v>
      </c>
      <c r="G27" s="117">
        <f t="shared" si="41"/>
        <v>235</v>
      </c>
      <c r="H27" s="117">
        <f t="shared" si="41"/>
        <v>17</v>
      </c>
      <c r="I27" s="117">
        <f t="shared" si="41"/>
        <v>6</v>
      </c>
      <c r="J27" s="117">
        <f t="shared" si="41"/>
        <v>8</v>
      </c>
      <c r="K27" s="119">
        <f t="shared" si="41"/>
        <v>9433</v>
      </c>
      <c r="L27" s="119">
        <f t="shared" si="41"/>
        <v>1</v>
      </c>
      <c r="M27" s="117">
        <f t="shared" si="41"/>
        <v>62130537</v>
      </c>
      <c r="N27" s="120">
        <f t="shared" si="41"/>
        <v>30354581</v>
      </c>
      <c r="O27" s="120">
        <f t="shared" si="41"/>
        <v>0.99999999999999989</v>
      </c>
      <c r="P27" s="121">
        <f t="shared" si="41"/>
        <v>29949933</v>
      </c>
      <c r="Q27" s="121">
        <f t="shared" si="41"/>
        <v>1</v>
      </c>
      <c r="R27" s="122">
        <f t="shared" si="41"/>
        <v>1567599</v>
      </c>
      <c r="S27" s="122">
        <f t="shared" si="41"/>
        <v>0.99999999999999989</v>
      </c>
      <c r="T27" s="123">
        <f t="shared" si="41"/>
        <v>1121368.061</v>
      </c>
      <c r="U27" s="123">
        <f t="shared" si="41"/>
        <v>1</v>
      </c>
      <c r="V27" s="124">
        <f t="shared" si="41"/>
        <v>517</v>
      </c>
      <c r="W27" s="124">
        <f t="shared" si="41"/>
        <v>1</v>
      </c>
      <c r="X27" s="125">
        <v>0.61</v>
      </c>
      <c r="Y27" s="126" t="s">
        <v>61</v>
      </c>
      <c r="Z27" s="127">
        <f t="shared" ref="Z27:AJ27" si="42">SUM(Z4:Z26)</f>
        <v>8.9699999999999989</v>
      </c>
      <c r="AA27" s="59">
        <f t="shared" si="42"/>
        <v>0.99999999999999989</v>
      </c>
      <c r="AB27" s="128">
        <f t="shared" si="42"/>
        <v>0</v>
      </c>
      <c r="AC27" s="129">
        <f>SUM(AC4:AC26)</f>
        <v>46</v>
      </c>
      <c r="AD27" s="130">
        <f>SUM(AD4:AD26)</f>
        <v>0.99999999999999956</v>
      </c>
      <c r="AE27" s="131">
        <f t="shared" si="42"/>
        <v>23</v>
      </c>
      <c r="AF27" s="243">
        <f>SUM(AF4:AF26)</f>
        <v>23</v>
      </c>
      <c r="AG27" s="132">
        <f t="shared" si="42"/>
        <v>0.99999999999999956</v>
      </c>
      <c r="AH27" s="240">
        <f t="shared" si="42"/>
        <v>3801900</v>
      </c>
      <c r="AI27" s="257">
        <f t="shared" si="42"/>
        <v>6301417</v>
      </c>
      <c r="AJ27" s="258">
        <f t="shared" si="42"/>
        <v>-2499517</v>
      </c>
      <c r="AK27" s="52"/>
      <c r="AL27" s="53">
        <f>SUM(AL4:AL26)</f>
        <v>3450000</v>
      </c>
      <c r="AM27" s="53">
        <f>SUM(AM4:AM26)</f>
        <v>812764.00000000012</v>
      </c>
      <c r="AN27" s="53">
        <f t="shared" ref="AN27" si="43">SUM(AH27+AL27+AM27)</f>
        <v>8064664</v>
      </c>
      <c r="AO27" s="55">
        <f>SUM(AO4:AO26)</f>
        <v>8064641</v>
      </c>
      <c r="AP27" s="55">
        <f t="shared" ref="AP27" si="44">AN27-AC27</f>
        <v>8064618</v>
      </c>
      <c r="AR27" s="5"/>
    </row>
    <row r="28" spans="1:44" x14ac:dyDescent="0.25">
      <c r="A28" s="97"/>
      <c r="B28" s="97"/>
      <c r="C28" s="97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9"/>
      <c r="S28" s="10"/>
      <c r="T28" s="10"/>
      <c r="U28" s="10"/>
      <c r="V28" s="10"/>
      <c r="W28" s="1"/>
      <c r="X28" s="3"/>
      <c r="Y28" s="1"/>
      <c r="Z28" s="1"/>
      <c r="AA28" s="1"/>
      <c r="AB28" s="1"/>
      <c r="AC28" s="1"/>
      <c r="AD28" s="17"/>
      <c r="AE28" s="1"/>
      <c r="AF28" s="1"/>
      <c r="AG28" s="1"/>
      <c r="AH28" s="1"/>
      <c r="AI28" s="1"/>
      <c r="AL28" s="28"/>
      <c r="AR28" s="5"/>
    </row>
    <row r="29" spans="1:44" hidden="1" x14ac:dyDescent="0.25">
      <c r="AB29" s="28"/>
      <c r="AH29">
        <v>2011</v>
      </c>
      <c r="AI29" s="31">
        <v>2010</v>
      </c>
      <c r="AJ29" s="30" t="s">
        <v>54</v>
      </c>
      <c r="AK29" s="30"/>
    </row>
    <row r="30" spans="1:44" ht="18" hidden="1" customHeight="1" x14ac:dyDescent="0.25">
      <c r="X30" s="19"/>
      <c r="Y30" s="4"/>
      <c r="Z30" s="4"/>
      <c r="AA30" s="4"/>
      <c r="AB30" s="7"/>
      <c r="AC30" s="6"/>
      <c r="AD30" s="21"/>
      <c r="AF30" s="30" t="s">
        <v>51</v>
      </c>
      <c r="AH30" s="5" t="e">
        <f>SUM(#REF!,#REF!,AH23,#REF!,#REF!,AH24,#REF!,AH25,#REF!,#REF!,AH26,#REF!,#REF!)</f>
        <v>#REF!</v>
      </c>
      <c r="AI30" s="5" t="e">
        <f>SUM(#REF!,#REF!,AI23,#REF!,#REF!,AI24,#REF!,AI25,#REF!,#REF!,AI26,#REF!,#REF!)</f>
        <v>#REF!</v>
      </c>
      <c r="AJ30" s="29" t="e">
        <f>AH30/AH32</f>
        <v>#REF!</v>
      </c>
      <c r="AK30" s="29"/>
    </row>
    <row r="31" spans="1:44" hidden="1" x14ac:dyDescent="0.25">
      <c r="X31" s="19"/>
      <c r="AD31" s="21"/>
      <c r="AF31" s="30" t="s">
        <v>52</v>
      </c>
      <c r="AH31" s="5" t="e">
        <f>SUM(#REF!,#REF!,#REF!,#REF!,#REF!,#REF!,#REF!,#REF!,#REF!,AH4)</f>
        <v>#REF!</v>
      </c>
      <c r="AI31" s="5" t="e">
        <f>SUM(#REF!,#REF!,#REF!,#REF!,#REF!,#REF!,#REF!,#REF!,#REF!,AI4)</f>
        <v>#REF!</v>
      </c>
      <c r="AJ31" s="29" t="e">
        <f>AH31/AH32</f>
        <v>#REF!</v>
      </c>
      <c r="AK31" s="29"/>
    </row>
    <row r="32" spans="1:44" hidden="1" x14ac:dyDescent="0.25">
      <c r="X32" s="19"/>
      <c r="AD32" s="21"/>
      <c r="AF32" s="30" t="s">
        <v>53</v>
      </c>
      <c r="AH32" s="5" t="e">
        <f>SUM(AH30:AH31)</f>
        <v>#REF!</v>
      </c>
      <c r="AI32" s="5" t="e">
        <f>SUM(AI30:AI31)</f>
        <v>#REF!</v>
      </c>
      <c r="AJ32" s="29"/>
      <c r="AK32" s="29"/>
    </row>
    <row r="33" spans="24:24" ht="20.100000000000001" customHeight="1" x14ac:dyDescent="0.25">
      <c r="X33" s="135"/>
    </row>
    <row r="34" spans="24:24" x14ac:dyDescent="0.25">
      <c r="X34" s="135"/>
    </row>
  </sheetData>
  <mergeCells count="8">
    <mergeCell ref="V2:W2"/>
    <mergeCell ref="P2:Q2"/>
    <mergeCell ref="R2:S2"/>
    <mergeCell ref="C2:D2"/>
    <mergeCell ref="K2:L2"/>
    <mergeCell ref="J2:J3"/>
    <mergeCell ref="N2:O2"/>
    <mergeCell ref="T2:U2"/>
  </mergeCells>
  <phoneticPr fontId="3" type="noConversion"/>
  <printOptions gridLines="1"/>
  <pageMargins left="0.25" right="0.25" top="0.75" bottom="0.75" header="0.3" footer="0.5"/>
  <pageSetup scale="90" orientation="landscape" copies="2" r:id="rId1"/>
  <headerFooter alignWithMargins="0">
    <oddHeader>&amp;LWY FY2014 EQIP Allocation&amp;C&amp;"Arial,Bold"&amp;12 &amp;R&amp;D</oddHeader>
    <oddFooter>&amp;LWyoming EQIP Allocations by Division/County&amp;RPage &amp;P of &amp;N</oddFooter>
  </headerFooter>
  <drawing r:id="rId2"/>
  <legacyDrawing r:id="rId3"/>
  <oleObjects>
    <mc:AlternateContent xmlns:mc="http://schemas.openxmlformats.org/markup-compatibility/2006">
      <mc:Choice Requires="x14">
        <oleObject progId="Word.Picture.8" shapeId="1025" r:id="rId4">
          <objectPr defaultSize="0" autoPict="0" r:id="rId5">
            <anchor moveWithCells="1" sizeWithCells="1">
              <from>
                <xdr:col>42</xdr:col>
                <xdr:colOff>30480</xdr:colOff>
                <xdr:row>27</xdr:row>
                <xdr:rowOff>160020</xdr:rowOff>
              </from>
              <to>
                <xdr:col>42</xdr:col>
                <xdr:colOff>30480</xdr:colOff>
                <xdr:row>27</xdr:row>
                <xdr:rowOff>160020</xdr:rowOff>
              </to>
            </anchor>
          </objectPr>
        </oleObject>
      </mc:Choice>
      <mc:Fallback>
        <oleObject progId="Word.Picture.8" shapeId="1025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F40CA-0C85-4967-9D45-D30529B57FA3}">
  <dimension ref="A1:I14"/>
  <sheetViews>
    <sheetView workbookViewId="0">
      <pane xSplit="1" topLeftCell="B1" activePane="topRight" state="frozen"/>
      <selection pane="topRight" activeCell="B20" sqref="B20"/>
    </sheetView>
  </sheetViews>
  <sheetFormatPr defaultRowHeight="13.2" x14ac:dyDescent="0.25"/>
  <cols>
    <col min="1" max="1" width="27.21875" customWidth="1"/>
    <col min="2" max="2" width="23.21875" bestFit="1" customWidth="1"/>
    <col min="3" max="3" width="22.109375" bestFit="1" customWidth="1"/>
    <col min="4" max="4" width="1.6640625" style="335" customWidth="1"/>
    <col min="5" max="5" width="24.77734375" customWidth="1"/>
    <col min="6" max="6" width="21.6640625" customWidth="1"/>
    <col min="7" max="7" width="1.6640625" style="357" customWidth="1"/>
    <col min="8" max="8" width="23.44140625" customWidth="1"/>
    <col min="9" max="9" width="14.77734375" bestFit="1" customWidth="1"/>
  </cols>
  <sheetData>
    <row r="1" spans="1:9" ht="61.2" x14ac:dyDescent="0.25">
      <c r="A1" s="340" t="s">
        <v>103</v>
      </c>
      <c r="B1" s="341" t="s">
        <v>139</v>
      </c>
      <c r="C1" s="341" t="s">
        <v>133</v>
      </c>
      <c r="D1" s="336"/>
      <c r="E1" s="341" t="s">
        <v>138</v>
      </c>
      <c r="F1" s="341" t="s">
        <v>134</v>
      </c>
      <c r="G1" s="336"/>
      <c r="H1" s="341" t="s">
        <v>140</v>
      </c>
      <c r="I1" s="327"/>
    </row>
    <row r="2" spans="1:9" ht="19.8" customHeight="1" x14ac:dyDescent="0.3">
      <c r="A2" s="325" t="s">
        <v>104</v>
      </c>
      <c r="B2" s="342">
        <v>21538152</v>
      </c>
      <c r="C2" s="343" t="s">
        <v>116</v>
      </c>
      <c r="D2" s="337"/>
      <c r="E2" s="342">
        <v>34045558</v>
      </c>
      <c r="F2" s="342">
        <v>37936393.289999999</v>
      </c>
      <c r="G2" s="354"/>
      <c r="H2" s="343" t="s">
        <v>117</v>
      </c>
      <c r="I2" s="333"/>
    </row>
    <row r="3" spans="1:9" ht="17.399999999999999" x14ac:dyDescent="0.3">
      <c r="A3" s="326" t="s">
        <v>108</v>
      </c>
      <c r="B3" s="344">
        <v>7365900</v>
      </c>
      <c r="C3" s="345" t="s">
        <v>118</v>
      </c>
      <c r="D3" s="337"/>
      <c r="E3" s="344">
        <v>5501160</v>
      </c>
      <c r="F3" s="344">
        <v>5577475</v>
      </c>
      <c r="G3" s="354"/>
      <c r="H3" s="345" t="s">
        <v>119</v>
      </c>
      <c r="I3" s="333"/>
    </row>
    <row r="4" spans="1:9" ht="17.399999999999999" x14ac:dyDescent="0.3">
      <c r="A4" s="326" t="s">
        <v>109</v>
      </c>
      <c r="B4" s="344">
        <v>5960900</v>
      </c>
      <c r="C4" s="345" t="s">
        <v>120</v>
      </c>
      <c r="D4" s="337"/>
      <c r="E4" s="328">
        <v>2987841</v>
      </c>
      <c r="F4" s="344">
        <v>7511549</v>
      </c>
      <c r="G4" s="354"/>
      <c r="H4" s="345"/>
      <c r="I4" s="333"/>
    </row>
    <row r="5" spans="1:9" ht="17.399999999999999" x14ac:dyDescent="0.3">
      <c r="A5" s="326" t="s">
        <v>110</v>
      </c>
      <c r="B5" s="344">
        <v>8211352</v>
      </c>
      <c r="C5" s="345" t="s">
        <v>121</v>
      </c>
      <c r="D5" s="337"/>
      <c r="E5" s="329">
        <v>12122557</v>
      </c>
      <c r="F5" s="344">
        <v>11394060</v>
      </c>
      <c r="G5" s="354"/>
      <c r="H5" s="345" t="s">
        <v>122</v>
      </c>
      <c r="I5" s="333"/>
    </row>
    <row r="6" spans="1:9" ht="17.399999999999999" x14ac:dyDescent="0.3">
      <c r="A6" s="326" t="s">
        <v>111</v>
      </c>
      <c r="B6" s="346" t="s">
        <v>114</v>
      </c>
      <c r="C6" s="345" t="s">
        <v>123</v>
      </c>
      <c r="D6" s="337"/>
      <c r="E6" s="328">
        <v>13434000</v>
      </c>
      <c r="F6" s="344">
        <v>13453309</v>
      </c>
      <c r="G6" s="354"/>
      <c r="H6" s="345" t="s">
        <v>124</v>
      </c>
      <c r="I6" s="333"/>
    </row>
    <row r="7" spans="1:9" ht="17.399999999999999" x14ac:dyDescent="0.3">
      <c r="A7" s="325" t="s">
        <v>105</v>
      </c>
      <c r="B7" s="342">
        <v>225990</v>
      </c>
      <c r="C7" s="343" t="s">
        <v>125</v>
      </c>
      <c r="D7" s="337"/>
      <c r="E7" s="330">
        <v>225990</v>
      </c>
      <c r="F7" s="352">
        <v>219586</v>
      </c>
      <c r="G7" s="355"/>
      <c r="H7" s="343" t="s">
        <v>126</v>
      </c>
      <c r="I7" s="358"/>
    </row>
    <row r="8" spans="1:9" ht="18" customHeight="1" x14ac:dyDescent="0.3">
      <c r="A8" s="347" t="s">
        <v>113</v>
      </c>
      <c r="B8" s="348">
        <v>5300000</v>
      </c>
      <c r="C8" s="349" t="s">
        <v>127</v>
      </c>
      <c r="D8" s="337"/>
      <c r="E8" s="331">
        <v>5200000</v>
      </c>
      <c r="F8" s="353">
        <v>2497597</v>
      </c>
      <c r="G8" s="356"/>
      <c r="H8" s="349" t="s">
        <v>128</v>
      </c>
      <c r="I8" s="333"/>
    </row>
    <row r="9" spans="1:9" ht="17.399999999999999" x14ac:dyDescent="0.3">
      <c r="A9" s="325" t="s">
        <v>106</v>
      </c>
      <c r="B9" s="359" t="s">
        <v>114</v>
      </c>
      <c r="C9" s="343" t="s">
        <v>129</v>
      </c>
      <c r="D9" s="360"/>
      <c r="E9" s="330">
        <v>3100000</v>
      </c>
      <c r="F9" s="361">
        <v>3072085</v>
      </c>
      <c r="G9" s="362"/>
      <c r="H9" s="343" t="s">
        <v>130</v>
      </c>
      <c r="I9" s="333"/>
    </row>
    <row r="10" spans="1:9" ht="17.399999999999999" x14ac:dyDescent="0.3">
      <c r="A10" s="347" t="s">
        <v>107</v>
      </c>
      <c r="B10" s="348">
        <v>13032682</v>
      </c>
      <c r="C10" s="349" t="s">
        <v>131</v>
      </c>
      <c r="D10" s="337"/>
      <c r="E10" s="332">
        <v>7283782</v>
      </c>
      <c r="F10" s="349" t="s">
        <v>132</v>
      </c>
      <c r="G10" s="337"/>
      <c r="H10" s="348">
        <f>2700000+3500000</f>
        <v>6200000</v>
      </c>
      <c r="I10" s="333"/>
    </row>
    <row r="11" spans="1:9" ht="17.399999999999999" x14ac:dyDescent="0.3">
      <c r="A11" s="325" t="s">
        <v>112</v>
      </c>
      <c r="B11" s="359" t="s">
        <v>114</v>
      </c>
      <c r="C11" s="363" t="s">
        <v>114</v>
      </c>
      <c r="D11" s="364"/>
      <c r="E11" s="359" t="s">
        <v>114</v>
      </c>
      <c r="F11" s="363" t="s">
        <v>114</v>
      </c>
      <c r="G11" s="364"/>
      <c r="H11" s="365">
        <v>2976648</v>
      </c>
      <c r="I11" s="333"/>
    </row>
    <row r="12" spans="1:9" ht="20.399999999999999" x14ac:dyDescent="0.25">
      <c r="A12" s="350" t="s">
        <v>135</v>
      </c>
      <c r="B12" s="351">
        <f>SUM(B3:B5,B7,B8,B10)</f>
        <v>40096824</v>
      </c>
      <c r="C12" s="350" t="s">
        <v>136</v>
      </c>
      <c r="D12" s="338"/>
      <c r="E12" s="351">
        <f>SUM(E3:E6,E7:E10)</f>
        <v>49855330</v>
      </c>
      <c r="F12" s="350" t="s">
        <v>137</v>
      </c>
      <c r="G12" s="338"/>
      <c r="H12" s="350" t="s">
        <v>115</v>
      </c>
      <c r="I12" s="327"/>
    </row>
    <row r="13" spans="1:9" x14ac:dyDescent="0.25">
      <c r="A13" s="327"/>
      <c r="B13" s="327"/>
      <c r="C13" s="327"/>
      <c r="D13" s="339"/>
      <c r="E13" s="327"/>
      <c r="F13" s="327"/>
      <c r="G13" s="339"/>
      <c r="H13" s="327"/>
      <c r="I13" s="327"/>
    </row>
    <row r="14" spans="1:9" x14ac:dyDescent="0.25">
      <c r="A14" s="327"/>
      <c r="B14" s="327"/>
      <c r="C14" s="327"/>
      <c r="D14" s="334"/>
      <c r="E14" s="327"/>
      <c r="F14" s="327"/>
      <c r="G14" s="339"/>
      <c r="H14" s="327"/>
      <c r="I14" s="327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0D8A9-FA1D-4377-852C-B38335142C92}">
  <dimension ref="A1:B24"/>
  <sheetViews>
    <sheetView workbookViewId="0">
      <selection activeCell="G27" sqref="G27"/>
    </sheetView>
  </sheetViews>
  <sheetFormatPr defaultRowHeight="13.2" x14ac:dyDescent="0.25"/>
  <cols>
    <col min="1" max="1" width="10.6640625" customWidth="1"/>
    <col min="2" max="2" width="14.109375" customWidth="1"/>
  </cols>
  <sheetData>
    <row r="1" spans="1:2" x14ac:dyDescent="0.25">
      <c r="A1" t="s">
        <v>16</v>
      </c>
      <c r="B1" t="s">
        <v>10</v>
      </c>
    </row>
    <row r="2" spans="1:2" x14ac:dyDescent="0.25">
      <c r="A2" t="s">
        <v>25</v>
      </c>
      <c r="B2" s="252">
        <v>139654.16982387914</v>
      </c>
    </row>
    <row r="3" spans="1:2" x14ac:dyDescent="0.25">
      <c r="A3" t="s">
        <v>26</v>
      </c>
      <c r="B3" s="252">
        <v>89398.230738270562</v>
      </c>
    </row>
    <row r="4" spans="1:2" x14ac:dyDescent="0.25">
      <c r="A4" t="s">
        <v>27</v>
      </c>
      <c r="B4" s="252">
        <v>208667.69703941111</v>
      </c>
    </row>
    <row r="5" spans="1:2" x14ac:dyDescent="0.25">
      <c r="A5" t="s">
        <v>28</v>
      </c>
      <c r="B5" s="252">
        <v>161590.4239180455</v>
      </c>
    </row>
    <row r="6" spans="1:2" x14ac:dyDescent="0.25">
      <c r="A6" t="s">
        <v>29</v>
      </c>
      <c r="B6" s="252">
        <v>194556.89843176343</v>
      </c>
    </row>
    <row r="7" spans="1:2" x14ac:dyDescent="0.25">
      <c r="A7" t="s">
        <v>30</v>
      </c>
      <c r="B7" s="252">
        <v>131516.03973355464</v>
      </c>
    </row>
    <row r="8" spans="1:2" x14ac:dyDescent="0.25">
      <c r="A8" t="s">
        <v>31</v>
      </c>
      <c r="B8" s="252">
        <v>178365.85576556149</v>
      </c>
    </row>
    <row r="9" spans="1:2" x14ac:dyDescent="0.25">
      <c r="A9" t="s">
        <v>32</v>
      </c>
      <c r="B9" s="252">
        <v>128377.42671026902</v>
      </c>
    </row>
    <row r="10" spans="1:2" x14ac:dyDescent="0.25">
      <c r="A10" t="s">
        <v>33</v>
      </c>
      <c r="B10" s="252">
        <v>69995.082686867245</v>
      </c>
    </row>
    <row r="11" spans="1:2" x14ac:dyDescent="0.25">
      <c r="A11" t="s">
        <v>34</v>
      </c>
      <c r="B11" s="252">
        <v>175231.56580119033</v>
      </c>
    </row>
    <row r="12" spans="1:2" x14ac:dyDescent="0.25">
      <c r="A12" t="s">
        <v>35</v>
      </c>
      <c r="B12" s="252">
        <v>149679.61292615384</v>
      </c>
    </row>
    <row r="13" spans="1:2" x14ac:dyDescent="0.25">
      <c r="A13" t="s">
        <v>36</v>
      </c>
      <c r="B13" s="252">
        <v>104487.02510381003</v>
      </c>
    </row>
    <row r="14" spans="1:2" x14ac:dyDescent="0.25">
      <c r="A14" t="s">
        <v>37</v>
      </c>
      <c r="B14" s="252">
        <v>146552.50091255974</v>
      </c>
    </row>
    <row r="15" spans="1:2" x14ac:dyDescent="0.25">
      <c r="A15" t="s">
        <v>38</v>
      </c>
      <c r="B15" s="252">
        <v>135609.07814609178</v>
      </c>
    </row>
    <row r="16" spans="1:2" x14ac:dyDescent="0.25">
      <c r="A16" t="s">
        <v>39</v>
      </c>
      <c r="B16" s="252">
        <v>128013.79267274335</v>
      </c>
    </row>
    <row r="17" spans="1:2" x14ac:dyDescent="0.25">
      <c r="A17" t="s">
        <v>40</v>
      </c>
      <c r="B17" s="252">
        <v>129546.71066864858</v>
      </c>
    </row>
    <row r="18" spans="1:2" x14ac:dyDescent="0.25">
      <c r="A18" t="s">
        <v>41</v>
      </c>
      <c r="B18" s="252">
        <v>153104.27220002521</v>
      </c>
    </row>
    <row r="19" spans="1:2" x14ac:dyDescent="0.25">
      <c r="A19" t="s">
        <v>42</v>
      </c>
      <c r="B19" s="252">
        <v>111746.72493899493</v>
      </c>
    </row>
    <row r="20" spans="1:2" x14ac:dyDescent="0.25">
      <c r="A20" t="s">
        <v>43</v>
      </c>
      <c r="B20" s="252">
        <v>132483.67626618018</v>
      </c>
    </row>
    <row r="21" spans="1:2" x14ac:dyDescent="0.25">
      <c r="A21" t="s">
        <v>44</v>
      </c>
      <c r="B21" s="252">
        <v>49090.167454136572</v>
      </c>
    </row>
    <row r="22" spans="1:2" x14ac:dyDescent="0.25">
      <c r="A22" t="s">
        <v>45</v>
      </c>
      <c r="B22" s="252">
        <v>85429.670307771987</v>
      </c>
    </row>
    <row r="23" spans="1:2" x14ac:dyDescent="0.25">
      <c r="A23" t="s">
        <v>46</v>
      </c>
      <c r="B23" s="252">
        <v>67391.474253098379</v>
      </c>
    </row>
    <row r="24" spans="1:2" x14ac:dyDescent="0.25">
      <c r="A24" t="s">
        <v>47</v>
      </c>
      <c r="B24" s="252">
        <v>117351.90350097271</v>
      </c>
    </row>
  </sheetData>
  <autoFilter ref="A1:B1" xr:uid="{6F60D8A9-FA1D-4377-852C-B38335142C92}">
    <sortState xmlns:xlrd2="http://schemas.microsoft.com/office/spreadsheetml/2017/richdata2" ref="A2:B24">
      <sortCondition ref="A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StateEQIPAllocation</vt:lpstr>
      <vt:lpstr>Local_Allocations</vt:lpstr>
      <vt:lpstr>Comparison</vt:lpstr>
      <vt:lpstr>Sheet1</vt:lpstr>
      <vt:lpstr>Local_Allocations!Print_Area</vt:lpstr>
      <vt:lpstr>StateEQIPAllocation!Print_Area</vt:lpstr>
      <vt:lpstr>Local_Allocations!Print_Titles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Schrader, Mary - NRCS, Casper, WY</dc:creator>
  <cp:lastModifiedBy>Vaporis, Katelyn - FPAC-NRCS, WY</cp:lastModifiedBy>
  <cp:lastPrinted>2018-04-11T14:06:16Z</cp:lastPrinted>
  <dcterms:created xsi:type="dcterms:W3CDTF">2009-01-14T23:44:37Z</dcterms:created>
  <dcterms:modified xsi:type="dcterms:W3CDTF">2024-11-13T18:04:44Z</dcterms:modified>
</cp:coreProperties>
</file>