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showInkAnnotation="0" codeName="ThisWorkbook" defaultThemeVersion="124226"/>
  <mc:AlternateContent xmlns:mc="http://schemas.openxmlformats.org/markup-compatibility/2006">
    <mc:Choice Requires="x15">
      <x15ac:absPath xmlns:x15ac="http://schemas.microsoft.com/office/spreadsheetml/2010/11/ac" url="https://usdagcc-my.sharepoint.com/personal/sarah_anderson_usda_gov/Documents/Sarah/Bioreactors/Design Spreadsheet/"/>
    </mc:Choice>
  </mc:AlternateContent>
  <xr:revisionPtr revIDLastSave="1" documentId="8_{79DCB0E7-241D-4D89-A2F8-AA5032731704}" xr6:coauthVersionLast="47" xr6:coauthVersionMax="47" xr10:uidLastSave="{B0282327-8F7B-464D-BB94-8377A5420451}"/>
  <bookViews>
    <workbookView xWindow="-120" yWindow="-120" windowWidth="29040" windowHeight="17640" xr2:uid="{00000000-000D-0000-FFFF-FFFF00000000}"/>
  </bookViews>
  <sheets>
    <sheet name="Bioreactor Design" sheetId="1" r:id="rId1"/>
    <sheet name="Example Design" sheetId="14" r:id="rId2"/>
    <sheet name="Conductivity" sheetId="8" state="hidden" r:id="rId3"/>
    <sheet name="References" sheetId="6" r:id="rId4"/>
    <sheet name="Info" sheetId="15" r:id="rId5"/>
  </sheets>
  <definedNames>
    <definedName name="_xlnm.Print_Area" localSheetId="0">'Bioreactor Design'!$A$1:$M$64</definedName>
    <definedName name="_xlnm.Print_Area" localSheetId="1">'Example Design'!$A$1:$M$44</definedName>
    <definedName name="_xlnm.Print_Area" localSheetId="4">Info!$A$1:$C$34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66" i="1" l="1"/>
  <c r="D56" i="1" s="1"/>
  <c r="Y68" i="1"/>
  <c r="Y66" i="1"/>
  <c r="AE57" i="1"/>
  <c r="AE53" i="1"/>
  <c r="AE52" i="1"/>
  <c r="AE51" i="1"/>
  <c r="AE50" i="1"/>
  <c r="AE55" i="1" l="1"/>
  <c r="D52" i="1" l="1"/>
  <c r="AE61" i="1"/>
  <c r="K2" i="14" l="1"/>
  <c r="E2" i="14"/>
  <c r="G22" i="1"/>
  <c r="K2" i="1" l="1"/>
  <c r="E2" i="1"/>
  <c r="D19" i="1" l="1"/>
  <c r="AC43" i="14" l="1"/>
  <c r="AC45" i="14" s="1"/>
  <c r="G38" i="14" s="1"/>
  <c r="Y38" i="14"/>
  <c r="X38" i="14"/>
  <c r="W38" i="14"/>
  <c r="AA37" i="14"/>
  <c r="Y37" i="14"/>
  <c r="X37" i="14"/>
  <c r="W37" i="14"/>
  <c r="AA36" i="14"/>
  <c r="Y36" i="14"/>
  <c r="X36" i="14"/>
  <c r="W36" i="14"/>
  <c r="AB35" i="14"/>
  <c r="AA35" i="14"/>
  <c r="D31" i="14"/>
  <c r="D32" i="14" s="1"/>
  <c r="AG24" i="14"/>
  <c r="E24" i="14"/>
  <c r="AF23" i="14"/>
  <c r="E23" i="14"/>
  <c r="AB19" i="14"/>
  <c r="D19" i="14"/>
  <c r="AA14" i="14"/>
  <c r="Z14" i="14"/>
  <c r="Y14" i="14"/>
  <c r="C12" i="14" s="1"/>
  <c r="I11" i="14"/>
  <c r="Z7" i="14" s="1"/>
  <c r="Z9" i="14"/>
  <c r="Z8" i="14"/>
  <c r="AB35" i="1"/>
  <c r="G25" i="1" s="1"/>
  <c r="AC43" i="1"/>
  <c r="AC45" i="1" s="1"/>
  <c r="AC32" i="14" l="1"/>
  <c r="I43" i="14" s="1"/>
  <c r="I44" i="14" s="1"/>
  <c r="AD23" i="14" s="1"/>
  <c r="AB23" i="14" s="1"/>
  <c r="AD28" i="14" s="1"/>
  <c r="D13" i="14"/>
  <c r="D14" i="14" s="1"/>
  <c r="Z6" i="14" s="1"/>
  <c r="Z10" i="14" s="1"/>
  <c r="D16" i="14" s="1"/>
  <c r="M41" i="14"/>
  <c r="M43" i="14"/>
  <c r="I41" i="14"/>
  <c r="I42" i="14" s="1"/>
  <c r="AD21" i="14" s="1"/>
  <c r="AB21" i="14" s="1"/>
  <c r="AD27" i="14" l="1"/>
  <c r="D26" i="14"/>
  <c r="G39" i="14" s="1"/>
  <c r="D28" i="14" l="1"/>
  <c r="D29" i="14"/>
  <c r="AG24" i="1" l="1"/>
  <c r="AF23" i="1"/>
  <c r="AB19" i="1"/>
  <c r="Y59" i="1" s="1"/>
  <c r="Z59" i="1" s="1"/>
  <c r="Y61" i="1" s="1"/>
  <c r="AC32" i="1" l="1"/>
  <c r="M41" i="1" s="1"/>
  <c r="E24" i="1"/>
  <c r="E23" i="1"/>
  <c r="I41" i="1" l="1"/>
  <c r="I42" i="1" s="1"/>
  <c r="AD21" i="1" s="1"/>
  <c r="I43" i="1"/>
  <c r="I44" i="1" s="1"/>
  <c r="AD23" i="1" s="1"/>
  <c r="AB23" i="1" s="1"/>
  <c r="AD28" i="1" s="1"/>
  <c r="M43" i="1"/>
  <c r="AB21" i="1" l="1"/>
  <c r="AD27" i="1" s="1"/>
  <c r="Y67" i="1"/>
  <c r="Y69" i="1" s="1"/>
  <c r="Y71" i="1" s="1"/>
  <c r="D55" i="1" s="1"/>
  <c r="D31" i="1"/>
  <c r="D32" i="1" s="1"/>
  <c r="D26" i="1" l="1"/>
  <c r="Y58" i="1"/>
  <c r="X51" i="1"/>
  <c r="D28" i="1"/>
  <c r="D29" i="1"/>
  <c r="F57" i="8"/>
  <c r="F55" i="8"/>
  <c r="AJ53" i="8"/>
  <c r="AJ49" i="8"/>
  <c r="AJ44" i="8"/>
  <c r="G42" i="8"/>
  <c r="F42" i="8"/>
  <c r="E42" i="8"/>
  <c r="AJ40" i="8"/>
  <c r="AJ36" i="8"/>
  <c r="E30" i="8"/>
  <c r="D30" i="8"/>
  <c r="C30" i="8"/>
  <c r="G29" i="8"/>
  <c r="E29" i="8"/>
  <c r="D29" i="8"/>
  <c r="C29" i="8"/>
  <c r="G28" i="8"/>
  <c r="E28" i="8"/>
  <c r="D28" i="8"/>
  <c r="C28" i="8"/>
  <c r="G27" i="8"/>
  <c r="Y38" i="1"/>
  <c r="X38" i="1"/>
  <c r="W38" i="1"/>
  <c r="AA37" i="1"/>
  <c r="Y37" i="1"/>
  <c r="X37" i="1"/>
  <c r="W37" i="1"/>
  <c r="AA36" i="1"/>
  <c r="Y36" i="1"/>
  <c r="X36" i="1"/>
  <c r="W36" i="1"/>
  <c r="AA35" i="1"/>
  <c r="Z8" i="1"/>
  <c r="Z9" i="1"/>
  <c r="AE60" i="1" l="1"/>
  <c r="D46" i="1"/>
  <c r="Z58" i="1"/>
  <c r="AJ74" i="8"/>
  <c r="I11" i="1"/>
  <c r="Z7" i="1" s="1"/>
  <c r="Y60" i="1" l="1"/>
  <c r="Z63" i="1"/>
  <c r="AF36" i="14"/>
  <c r="AF36" i="1"/>
  <c r="AA14" i="1"/>
  <c r="Z14" i="1"/>
  <c r="Y14" i="1"/>
  <c r="C12" i="1" s="1"/>
  <c r="D54" i="1" l="1"/>
  <c r="D53" i="1"/>
  <c r="AF37" i="1"/>
  <c r="D35" i="1" s="1"/>
  <c r="D20" i="1"/>
  <c r="AF37" i="14"/>
  <c r="D35" i="14" s="1"/>
  <c r="D20" i="14"/>
  <c r="D13" i="1"/>
  <c r="D14" i="1" s="1"/>
  <c r="D36" i="14" l="1"/>
  <c r="D34" i="14"/>
  <c r="Z6" i="1"/>
  <c r="Z10" i="1" s="1"/>
  <c r="D16" i="1" s="1"/>
  <c r="D34" i="1"/>
  <c r="D36" i="1" l="1"/>
  <c r="X53" i="1" s="1"/>
  <c r="X50" i="1" l="1"/>
  <c r="X52" i="1"/>
  <c r="G38" i="1"/>
  <c r="B3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Book, Ruth - NRCS, Champaign, IL</author>
    <author>Anderson, Sarah - NRCS, Des Moines, IA</author>
  </authors>
  <commentList>
    <comment ref="I9" authorId="0" shapeId="0" xr:uid="{00000000-0006-0000-0000-000001000000}">
      <text>
        <r>
          <rPr>
            <sz val="9"/>
            <color indexed="81"/>
            <rFont val="Tahoma"/>
            <family val="2"/>
          </rPr>
          <t>Enter the drainage area even if you are not using Option 2.  This entry is used to estimate a loading density.</t>
        </r>
      </text>
    </comment>
    <comment ref="D21" authorId="0" shapeId="0" xr:uid="{00000000-0006-0000-0000-000003000000}">
      <text>
        <r>
          <rPr>
            <sz val="9"/>
            <color indexed="81"/>
            <rFont val="Tahoma"/>
            <family val="2"/>
          </rPr>
          <t>Leave this entry blank unless you have additional information about the bioreactor media and want to override the default hydraulic conductivity.</t>
        </r>
      </text>
    </comment>
    <comment ref="G21" authorId="0" shapeId="0" xr:uid="{00000000-0006-0000-0000-000004000000}">
      <text>
        <r>
          <rPr>
            <sz val="9"/>
            <color indexed="81"/>
            <rFont val="Tahoma"/>
            <family val="2"/>
          </rPr>
          <t>Typical structures come in one-foot increments.  Select a structure height that will put the top of the box at least 6" above grade.</t>
        </r>
      </text>
    </comment>
    <comment ref="M21" authorId="0" shapeId="0" xr:uid="{00000000-0006-0000-0000-000005000000}">
      <text>
        <r>
          <rPr>
            <sz val="9"/>
            <color indexed="81"/>
            <rFont val="Tahoma"/>
            <family val="2"/>
          </rPr>
          <t>For designs using a combined inlet/outlet structure, leave this entry blank.</t>
        </r>
      </text>
    </comment>
    <comment ref="D24" authorId="0" shapeId="0" xr:uid="{00000000-0006-0000-0000-000006000000}">
      <text>
        <r>
          <rPr>
            <b/>
            <sz val="9"/>
            <color indexed="81"/>
            <rFont val="Tahoma"/>
            <family val="2"/>
          </rPr>
          <t xml:space="preserve">Length-to-Width Ratio:
</t>
        </r>
        <r>
          <rPr>
            <sz val="9"/>
            <color indexed="81"/>
            <rFont val="Tahoma"/>
            <family val="2"/>
          </rPr>
          <t xml:space="preserve">
If L:W is less than 4:1, design a multiple-header distribution system so that the width served by each header is no greater than 25% of the chamber length.</t>
        </r>
      </text>
    </comment>
    <comment ref="G24" authorId="0" shapeId="0" xr:uid="{00000000-0006-0000-0000-000007000000}">
      <text>
        <r>
          <rPr>
            <sz val="9"/>
            <color indexed="81"/>
            <rFont val="Tahoma"/>
            <family val="2"/>
          </rPr>
          <t>Make the inlet stop log height as high as possible without drowning out the crop.
This is the diversion setting.  Flow from the tile is diverted into the bioreactor, until it reaches the height of the inlet stop logs.  A higher setting allows the designer to maximize the performance of the bioreactor.
The inlet stop log height must be at least 0.5 ft below the ground surface (or the bottom of the soil cover if the design includes a soil cover.)</t>
        </r>
      </text>
    </comment>
    <comment ref="D26" authorId="0" shapeId="0" xr:uid="{00000000-0006-0000-0000-000008000000}">
      <text>
        <r>
          <rPr>
            <sz val="9"/>
            <color indexed="81"/>
            <rFont val="Tahoma"/>
            <family val="2"/>
          </rPr>
          <t>The effective bioreactor chamber height is 6 inches higher than the inlet stoplog height, measured to the average trench bottom elevation.</t>
        </r>
      </text>
    </comment>
    <comment ref="M28" authorId="0" shapeId="0" xr:uid="{00000000-0006-0000-0000-000009000000}">
      <text>
        <r>
          <rPr>
            <sz val="9"/>
            <color indexed="81"/>
            <rFont val="Tahoma"/>
            <family val="2"/>
          </rPr>
          <t>Set the outlet stop log height about 3-12 inches or more below the inlet stop log height.
This is the capacity setting.  The difference between inlet and outlet height affects the flow capacity through the bioreactor, and the hydraulic retention time.</t>
        </r>
      </text>
    </comment>
    <comment ref="D32" authorId="0" shapeId="0" xr:uid="{00000000-0006-0000-0000-00000A000000}">
      <text>
        <r>
          <rPr>
            <sz val="9"/>
            <color indexed="81"/>
            <rFont val="Tahoma"/>
            <family val="2"/>
          </rPr>
          <t>Minimum load reduction (Lr) is 20%.  
Maximum is about 85%, beyond which you risk producing methyl mercury.
Loading density (Ld) depends on surface area of the bioreactor (L x W), and is measured in acres per 100 sq.ft. of bioreactor.
This estimate is based on work by Cooke et al in Illinois: 
Lr = 95.42/ Ld^.435</t>
        </r>
      </text>
    </comment>
    <comment ref="M33" authorId="0" shapeId="0" xr:uid="{00000000-0006-0000-0000-00000B000000}">
      <text>
        <r>
          <rPr>
            <sz val="9"/>
            <color indexed="81"/>
            <rFont val="Tahoma"/>
            <family val="2"/>
          </rPr>
          <t>For designs using a combined inlet/outlet structure, leave this entry blank.</t>
        </r>
      </text>
    </comment>
    <comment ref="D34" authorId="0" shapeId="0" xr:uid="{00000000-0006-0000-0000-00000C000000}">
      <text>
        <r>
          <rPr>
            <b/>
            <sz val="9"/>
            <color indexed="81"/>
            <rFont val="Tahoma"/>
            <family val="2"/>
          </rPr>
          <t xml:space="preserve">If you need to increase hydraulic retention time, try one of these ideas:
</t>
        </r>
        <r>
          <rPr>
            <sz val="9"/>
            <color indexed="81"/>
            <rFont val="Tahoma"/>
            <family val="2"/>
          </rPr>
          <t>- longer flow length
- higher outlet stop log height</t>
        </r>
      </text>
    </comment>
    <comment ref="H35" authorId="0" shapeId="0" xr:uid="{00000000-0006-0000-0000-00000D000000}">
      <text>
        <r>
          <rPr>
            <sz val="9"/>
            <color indexed="81"/>
            <rFont val="Tahoma"/>
            <family val="2"/>
          </rPr>
          <t>Bioreactor chamber needs positive drainage.  
With the two-structure design (structures at both inlet and outlet):
- make trench bottom at outlet 0.2' lower than trench bottom at inlet
- set outlet structure bottom lower than trench bottom at outlet
With the single-structure design (combination inlet/outlet structure):
- make trench bottom at inlet 0.2' lower than trench bottom at far end
- set structure bottom lower than trench bottom at inlet</t>
        </r>
      </text>
    </comment>
    <comment ref="D36" authorId="0" shapeId="0" xr:uid="{00000000-0006-0000-0000-00000E000000}">
      <text>
        <r>
          <rPr>
            <b/>
            <sz val="9"/>
            <color indexed="81"/>
            <rFont val="Tahoma"/>
            <family val="2"/>
          </rPr>
          <t xml:space="preserve">If you need to increase flow capacity, try one of these ideas:
</t>
        </r>
        <r>
          <rPr>
            <sz val="9"/>
            <color indexed="81"/>
            <rFont val="Tahoma"/>
            <family val="2"/>
          </rPr>
          <t>- wider trench width
- shorter flow length
- higher difference between stop log heights</t>
        </r>
      </text>
    </comment>
    <comment ref="M40" authorId="0" shapeId="0" xr:uid="{00000000-0006-0000-0000-00000F000000}">
      <text>
        <r>
          <rPr>
            <sz val="9"/>
            <color indexed="81"/>
            <rFont val="Tahoma"/>
            <family val="2"/>
          </rPr>
          <t>The settings in inches are based on the elevations entered above, using normal rounding techniques.  Typical stoplogs are manufactured in height increments of inches (for example, 5" or 7").
If the default setting in inches is not achievable using the stoplogs available, use the override entry to select a feasible alternative.
Leave the OVERRIDE entries blank if the default is acceptable.</t>
        </r>
      </text>
    </comment>
    <comment ref="D46" authorId="1" shapeId="0" xr:uid="{F3FCECF6-2EFF-4885-9906-83A8DE649CD2}">
      <text>
        <r>
          <rPr>
            <sz val="9"/>
            <color indexed="81"/>
            <rFont val="Tahoma"/>
            <family val="2"/>
          </rPr>
          <t>10% of the total depth of wood chips per CPS 605.
This is the height above either the ground surface (no soil cap) or above the inlet stoplog plus 0.5' freeboard (soil cap).
This is only in the center of the chamber.  See standard drawings for details.</t>
        </r>
      </text>
    </comment>
    <comment ref="D47" authorId="1" shapeId="0" xr:uid="{EE346CBC-8641-4DEF-8E1F-741F2BAACA35}">
      <text>
        <r>
          <rPr>
            <b/>
            <sz val="9"/>
            <color indexed="81"/>
            <rFont val="Tahoma"/>
            <family val="2"/>
          </rPr>
          <t>OPTIONAL - must be greater than 10% of the wood chip depth in the chamber.</t>
        </r>
      </text>
    </comment>
    <comment ref="D49" authorId="1" shapeId="0" xr:uid="{5D7D3443-F80A-4BC1-BCFC-9B8B8BB67421}">
      <text>
        <r>
          <rPr>
            <sz val="9"/>
            <color indexed="81"/>
            <rFont val="Tahoma"/>
            <family val="2"/>
          </rPr>
          <t>Typically 1.0 feet.  CPS 605 only states grade to divert surface runoff away from chamber.</t>
        </r>
      </text>
    </comment>
    <comment ref="D50" authorId="1" shapeId="0" xr:uid="{64DE8209-C655-493E-A59C-2A0B816CA6D8}">
      <text>
        <r>
          <rPr>
            <b/>
            <sz val="9"/>
            <color indexed="81"/>
            <rFont val="Tahoma"/>
            <family val="2"/>
          </rPr>
          <t>OPTIONAL INPUT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Book, Ruth - NRCS, Champaign, IL</author>
  </authors>
  <commentList>
    <comment ref="I9" authorId="0" shapeId="0" xr:uid="{00000000-0006-0000-0200-000001000000}">
      <text>
        <r>
          <rPr>
            <sz val="9"/>
            <color indexed="81"/>
            <rFont val="Tahoma"/>
            <family val="2"/>
          </rPr>
          <t>Enter the drainage area even if you are not using Option 2.  This entry is used to estimate a loading density.</t>
        </r>
      </text>
    </comment>
    <comment ref="D21" authorId="0" shapeId="0" xr:uid="{00000000-0006-0000-0200-000003000000}">
      <text>
        <r>
          <rPr>
            <sz val="9"/>
            <color indexed="81"/>
            <rFont val="Tahoma"/>
            <family val="2"/>
          </rPr>
          <t>Leave this entry blank unless you have additional information about the bioreactor media and want to override the default hydraulic conductivity.</t>
        </r>
      </text>
    </comment>
    <comment ref="G21" authorId="0" shapeId="0" xr:uid="{00000000-0006-0000-0200-000004000000}">
      <text>
        <r>
          <rPr>
            <sz val="9"/>
            <color indexed="81"/>
            <rFont val="Tahoma"/>
            <family val="2"/>
          </rPr>
          <t>Typical structures come in one-foot increments.  Select a structure height that will put the top of the box at least 6" above grade.</t>
        </r>
      </text>
    </comment>
    <comment ref="M21" authorId="0" shapeId="0" xr:uid="{00000000-0006-0000-0200-000005000000}">
      <text>
        <r>
          <rPr>
            <sz val="9"/>
            <color indexed="81"/>
            <rFont val="Tahoma"/>
            <family val="2"/>
          </rPr>
          <t>For designs using a combined inlet/outlet structure, leave this entry blank.</t>
        </r>
      </text>
    </comment>
    <comment ref="D24" authorId="0" shapeId="0" xr:uid="{00000000-0006-0000-0200-000006000000}">
      <text>
        <r>
          <rPr>
            <b/>
            <sz val="9"/>
            <color indexed="81"/>
            <rFont val="Tahoma"/>
            <family val="2"/>
          </rPr>
          <t xml:space="preserve">Length-to-Width Ratio:
</t>
        </r>
        <r>
          <rPr>
            <sz val="9"/>
            <color indexed="81"/>
            <rFont val="Tahoma"/>
            <family val="2"/>
          </rPr>
          <t xml:space="preserve">
If L:W is less than 4:1, design a multiple-header distribution system so that the width served by each header is no greater than 25% of the chamber length.</t>
        </r>
      </text>
    </comment>
    <comment ref="G24" authorId="0" shapeId="0" xr:uid="{00000000-0006-0000-0200-000007000000}">
      <text>
        <r>
          <rPr>
            <sz val="9"/>
            <color indexed="81"/>
            <rFont val="Tahoma"/>
            <family val="2"/>
          </rPr>
          <t>Make the inlet stop log height as high as possible without drowning out the crop.
This is the diversion setting.  Flow from the tile is diverted into the bioreactor, until it reaches the height of the inlet stop logs.  A higher setting allows the designer to maximize the performance of the bioreactor.
The inlet stop log height must be at least 0.5 ft below the ground surface (or the bottom of the soil cover if the design includes a soil cover.)</t>
        </r>
      </text>
    </comment>
    <comment ref="D26" authorId="0" shapeId="0" xr:uid="{00000000-0006-0000-0200-000008000000}">
      <text>
        <r>
          <rPr>
            <sz val="9"/>
            <color indexed="81"/>
            <rFont val="Tahoma"/>
            <family val="2"/>
          </rPr>
          <t>The effective bioreactor chamber height is 6 inches higher than the inlet stoplog height, measured to the average trench bottom elevation.</t>
        </r>
      </text>
    </comment>
    <comment ref="M28" authorId="0" shapeId="0" xr:uid="{00000000-0006-0000-0200-000009000000}">
      <text>
        <r>
          <rPr>
            <sz val="9"/>
            <color indexed="81"/>
            <rFont val="Tahoma"/>
            <family val="2"/>
          </rPr>
          <t>Set the outlet stop log height about 3-12 inches or more below the inlet stop log height.
This is the capacity setting.  The difference between inlet and outlet height affects the flow capacity through the bioreactor, and the hydraulic retention time.</t>
        </r>
      </text>
    </comment>
    <comment ref="D32" authorId="0" shapeId="0" xr:uid="{00000000-0006-0000-0200-00000A000000}">
      <text>
        <r>
          <rPr>
            <sz val="9"/>
            <color indexed="81"/>
            <rFont val="Tahoma"/>
            <family val="2"/>
          </rPr>
          <t>Minimum load reduction (Lr) is 30%.  
Maximum is about 85%, beyond which you risk producing methyl mercury.
Loading density (Ld) depends on surface area of the bioreactor (L x W), and is measured in acres per 100 sq.ft. of bioreactor.
This estimate is based on work by Cooke et al in Illinois: 
Lr = 95.42/ Ld^.435</t>
        </r>
      </text>
    </comment>
    <comment ref="M33" authorId="0" shapeId="0" xr:uid="{00000000-0006-0000-0200-00000B000000}">
      <text>
        <r>
          <rPr>
            <sz val="9"/>
            <color indexed="81"/>
            <rFont val="Tahoma"/>
            <family val="2"/>
          </rPr>
          <t>For designs using a combined inlet/outlet structure, leave this entry blank.</t>
        </r>
      </text>
    </comment>
    <comment ref="D34" authorId="0" shapeId="0" xr:uid="{00000000-0006-0000-0200-00000C000000}">
      <text>
        <r>
          <rPr>
            <b/>
            <sz val="9"/>
            <color indexed="81"/>
            <rFont val="Tahoma"/>
            <family val="2"/>
          </rPr>
          <t xml:space="preserve">If you need to increase hydraulic retention time, try one of these ideas:
</t>
        </r>
        <r>
          <rPr>
            <sz val="9"/>
            <color indexed="81"/>
            <rFont val="Tahoma"/>
            <family val="2"/>
          </rPr>
          <t>- longer flow length
- higher outlet stop log height</t>
        </r>
      </text>
    </comment>
    <comment ref="H35" authorId="0" shapeId="0" xr:uid="{00000000-0006-0000-0200-00000D000000}">
      <text>
        <r>
          <rPr>
            <sz val="9"/>
            <color indexed="81"/>
            <rFont val="Tahoma"/>
            <family val="2"/>
          </rPr>
          <t>Bioreactor chamber needs positive drainage.  
With the two-structure design (structures at both inlet and outlet):
- make trench bottom at outlet 0.2' lower than trench bottom at inlet
- set outlet structure bottom lower than trench bottom at outlet
With the single-structure design (combination inlet/outlet structure):
- make trench bottom at inlet 0.2' lower than trench bottom at far end
- set structure bottom lower than trench bottom at inlet</t>
        </r>
      </text>
    </comment>
    <comment ref="D36" authorId="0" shapeId="0" xr:uid="{00000000-0006-0000-0200-00000E000000}">
      <text>
        <r>
          <rPr>
            <b/>
            <sz val="9"/>
            <color indexed="81"/>
            <rFont val="Tahoma"/>
            <family val="2"/>
          </rPr>
          <t xml:space="preserve">If you need to increase flow capacity, try one of these ideas:
</t>
        </r>
        <r>
          <rPr>
            <sz val="9"/>
            <color indexed="81"/>
            <rFont val="Tahoma"/>
            <family val="2"/>
          </rPr>
          <t>- wider trench width
- shorter flow length
- higher difference between stop log heights</t>
        </r>
      </text>
    </comment>
    <comment ref="M40" authorId="0" shapeId="0" xr:uid="{00000000-0006-0000-0200-00000F000000}">
      <text>
        <r>
          <rPr>
            <sz val="9"/>
            <color indexed="81"/>
            <rFont val="Tahoma"/>
            <family val="2"/>
          </rPr>
          <t>The settings in inches are based on the elevations entered above, using normal rounding techniques.  Typical stoplogs are manufactured in height increments of inches (for example, 5" or 7").
If the default setting in inches is not achievable using the stoplogs available, use the override entry to select a feasible alternative.
Leave the OVERRIDE entries blank if the default is acceptable.</t>
        </r>
      </text>
    </comment>
  </commentList>
</comments>
</file>

<file path=xl/sharedStrings.xml><?xml version="1.0" encoding="utf-8"?>
<sst xmlns="http://schemas.openxmlformats.org/spreadsheetml/2006/main" count="374" uniqueCount="217">
  <si>
    <t>Notes:</t>
  </si>
  <si>
    <t>Van Driel, P. W., Robertson, W. D., and Merkley, L. C. 2006. Denitrification of agricultural drainage using wood-based reactors. Transactions of the ASABE 49(2): 565-573.</t>
  </si>
  <si>
    <t>Christianson, Laura, Alok Bhandari, and Matthew J. Helmers. 2011. Pilot-Scale Evaluation of Denitrification Drainage Bioreactors: Reactor Geometry and Performance. Journal of Environmental Engineering 137(4): 213-220.</t>
  </si>
  <si>
    <t>USDA-NRCS. 2001. Water Management (Drainage). National Engineering Handbook, Part 650, Chpater 14, Table 14-7.</t>
  </si>
  <si>
    <t xml:space="preserve">ADS, Inc. Drainage Handbook. 2010. Hydraulics. Table 3-1. http://www.ads-pipe.com/pdf/en/ADH3-Hydraulics_(ID_2999).pdf  </t>
  </si>
  <si>
    <t>References</t>
  </si>
  <si>
    <t>Christianson, Laura, A. Castello, R. Christianson, M. Helmers, A. Bhandari. 2010. Hydraulic Property Determination of Denitrifying Bioreactor Fill Media. Applied Engineering in Agriculture 26(5): 849-854.</t>
  </si>
  <si>
    <t>Date</t>
  </si>
  <si>
    <t>USDA- Natural Resources Conservation Service</t>
  </si>
  <si>
    <t>Designed by:</t>
  </si>
  <si>
    <t>Date:</t>
  </si>
  <si>
    <t>Checked by:</t>
  </si>
  <si>
    <t>Project Name</t>
  </si>
  <si>
    <t>Site Location</t>
  </si>
  <si>
    <t>County</t>
  </si>
  <si>
    <t>CPT</t>
  </si>
  <si>
    <t>Dual Wall</t>
  </si>
  <si>
    <t>selected</t>
  </si>
  <si>
    <t>n</t>
  </si>
  <si>
    <t>tile size</t>
  </si>
  <si>
    <t>inlet area(Perf)</t>
  </si>
  <si>
    <t>Tile Dia. (in.)</t>
  </si>
  <si>
    <t>area (in2/ft)</t>
  </si>
  <si>
    <t>Clay or Concrete</t>
  </si>
  <si>
    <t>American Society of Agricultural and Biological Engineers.  2015.  Design and Construction of Subsurface Drainage Systems on Agricultural Lands in Humid Areas.  ASAE EP260.5 FEB 2015.</t>
  </si>
  <si>
    <t>Mainline tile size (in)</t>
  </si>
  <si>
    <t>Mainline tile grade (%)</t>
  </si>
  <si>
    <t>Mainline tile material</t>
  </si>
  <si>
    <t>Drainage area of tile system (ac)</t>
  </si>
  <si>
    <t>Drainage coefficient (inches/day)</t>
  </si>
  <si>
    <t xml:space="preserve">Capacity of drainage system </t>
  </si>
  <si>
    <t>Peak flow from mainline size and grade</t>
  </si>
  <si>
    <t>Peak velocity in mainline given size and grade</t>
  </si>
  <si>
    <t>Option 1 - Mainline Configuration</t>
  </si>
  <si>
    <t>Option 2 - Drainage Coefficient</t>
  </si>
  <si>
    <t>Capacity of drainage system (cfs)</t>
  </si>
  <si>
    <r>
      <t xml:space="preserve">Option 3 - Direct Entry </t>
    </r>
    <r>
      <rPr>
        <i/>
        <sz val="9"/>
        <rFont val="Arial"/>
        <family val="2"/>
      </rPr>
      <t>(from model or other source)</t>
    </r>
  </si>
  <si>
    <t>Drain capacity</t>
  </si>
  <si>
    <t>Version</t>
  </si>
  <si>
    <t>Notes</t>
  </si>
  <si>
    <t>cfs</t>
  </si>
  <si>
    <t>Design Capacity:</t>
  </si>
  <si>
    <t>Determine Design Capacity:</t>
  </si>
  <si>
    <t>Option 1</t>
  </si>
  <si>
    <t>Option 2</t>
  </si>
  <si>
    <t>Option 3</t>
  </si>
  <si>
    <t>Option 4</t>
  </si>
  <si>
    <t>Size Bioreactor:</t>
  </si>
  <si>
    <t>Design type (soil cover or open type)</t>
  </si>
  <si>
    <t>Porosity of wood media (decimal %)</t>
  </si>
  <si>
    <r>
      <t xml:space="preserve">Trench width, </t>
    </r>
    <r>
      <rPr>
        <b/>
        <sz val="10"/>
        <rFont val="Arial"/>
        <family val="2"/>
      </rPr>
      <t>W</t>
    </r>
    <r>
      <rPr>
        <sz val="10"/>
        <rFont val="Arial"/>
        <family val="2"/>
      </rPr>
      <t xml:space="preserve"> </t>
    </r>
    <r>
      <rPr>
        <i/>
        <sz val="10"/>
        <rFont val="Arial"/>
        <family val="2"/>
      </rPr>
      <t>(ft)</t>
    </r>
  </si>
  <si>
    <r>
      <t>Flow length,</t>
    </r>
    <r>
      <rPr>
        <b/>
        <sz val="10"/>
        <rFont val="Arial"/>
        <family val="2"/>
      </rPr>
      <t xml:space="preserve"> L</t>
    </r>
    <r>
      <rPr>
        <sz val="10"/>
        <rFont val="Arial"/>
        <family val="2"/>
      </rPr>
      <t xml:space="preserve"> </t>
    </r>
    <r>
      <rPr>
        <i/>
        <sz val="10"/>
        <rFont val="Arial"/>
        <family val="2"/>
      </rPr>
      <t>(ft)</t>
    </r>
  </si>
  <si>
    <r>
      <t xml:space="preserve">Average flow depth </t>
    </r>
    <r>
      <rPr>
        <i/>
        <sz val="10"/>
        <rFont val="Arial"/>
        <family val="2"/>
      </rPr>
      <t>(ft)</t>
    </r>
  </si>
  <si>
    <r>
      <t xml:space="preserve">Hydraulic gradient </t>
    </r>
    <r>
      <rPr>
        <i/>
        <sz val="10"/>
        <rFont val="Arial"/>
        <family val="2"/>
      </rPr>
      <t>(ft/ft)</t>
    </r>
  </si>
  <si>
    <r>
      <t xml:space="preserve">Loading density </t>
    </r>
    <r>
      <rPr>
        <i/>
        <sz val="10"/>
        <rFont val="Arial"/>
        <family val="2"/>
      </rPr>
      <t>(Acres per 100 sq.ft. bioreactor)</t>
    </r>
  </si>
  <si>
    <r>
      <t xml:space="preserve">Estimated load reduction </t>
    </r>
    <r>
      <rPr>
        <i/>
        <sz val="10"/>
        <rFont val="Arial"/>
        <family val="2"/>
      </rPr>
      <t>(%)</t>
    </r>
  </si>
  <si>
    <r>
      <t xml:space="preserve">Hydraulic retention time </t>
    </r>
    <r>
      <rPr>
        <i/>
        <sz val="10"/>
        <rFont val="Arial"/>
        <family val="2"/>
      </rPr>
      <t>(hours)</t>
    </r>
  </si>
  <si>
    <r>
      <t xml:space="preserve">Bioreactor flow capacity </t>
    </r>
    <r>
      <rPr>
        <i/>
        <sz val="10"/>
        <rFont val="Arial"/>
        <family val="2"/>
      </rPr>
      <t>(cfs)</t>
    </r>
  </si>
  <si>
    <t>% of design capacity</t>
  </si>
  <si>
    <t>minimum 30%</t>
  </si>
  <si>
    <t>minimum 3 hrs</t>
  </si>
  <si>
    <t>target 100%</t>
  </si>
  <si>
    <t>Source: University of Illinois bioreactor design software</t>
  </si>
  <si>
    <t>Hydraulic Conductivity (ft/s)</t>
  </si>
  <si>
    <t>Type of woodchip</t>
  </si>
  <si>
    <t>No soil on top</t>
  </si>
  <si>
    <t>1 ft of soil</t>
  </si>
  <si>
    <t>2 ft of soil</t>
  </si>
  <si>
    <t>Hardwood</t>
  </si>
  <si>
    <t>Shredded</t>
  </si>
  <si>
    <t>Mixed</t>
  </si>
  <si>
    <t>Porosity (decimal %)</t>
  </si>
  <si>
    <t>Chipometer data</t>
  </si>
  <si>
    <t>Average for vanDriel</t>
  </si>
  <si>
    <t>NOTE: a wide variety of hydraulic conductivities exist.</t>
  </si>
  <si>
    <t>Go with the field data rather than the chipometer (horizontal vs vertical)</t>
  </si>
  <si>
    <t>Use vanDriel; it is much lower than the Chun data (more conservative).</t>
  </si>
  <si>
    <t>Averages</t>
  </si>
  <si>
    <t>ADS Tech Note 1.02</t>
  </si>
  <si>
    <t>Oct. 2008</t>
  </si>
  <si>
    <t xml:space="preserve">http://www.ads-pipe.com/pdf/en/A1.02-Single_Wall_Perf_Patterns.pdf </t>
  </si>
  <si>
    <t>Note: bioreactor flow rate will depend on:</t>
  </si>
  <si>
    <t>1. hydraulic conductivity of wood chips</t>
  </si>
  <si>
    <t>2. flow capacity of collector manifold</t>
  </si>
  <si>
    <t>*</t>
  </si>
  <si>
    <t>3. flow capacity of outlet pipe</t>
  </si>
  <si>
    <t>assume 6" dia</t>
  </si>
  <si>
    <t>4. flow received from drainage tile system</t>
  </si>
  <si>
    <t>* Assume that the collector manifold (regular CPT slots/openings) is not the limiting factor.</t>
  </si>
  <si>
    <t>Use "creek water experiment" rather than "deionised water experiment".</t>
  </si>
  <si>
    <t>Average of vanDriel and Chun:</t>
  </si>
  <si>
    <t>EXAMPLE ONLY</t>
  </si>
  <si>
    <t>Inlet Structure</t>
  </si>
  <si>
    <t>Outlet Structure</t>
  </si>
  <si>
    <t>Height (ft)</t>
  </si>
  <si>
    <t>EL bottom of trench</t>
  </si>
  <si>
    <t>at inlet end</t>
  </si>
  <si>
    <t>at far end</t>
  </si>
  <si>
    <t>Bottom EL</t>
  </si>
  <si>
    <t>Inlet stoplog EL</t>
  </si>
  <si>
    <t>Outlet stoplog EL</t>
  </si>
  <si>
    <r>
      <t xml:space="preserve">Inlet stoplog height above average trench bottom EL </t>
    </r>
    <r>
      <rPr>
        <i/>
        <sz val="10"/>
        <rFont val="Arial"/>
        <family val="2"/>
      </rPr>
      <t>(in)</t>
    </r>
  </si>
  <si>
    <r>
      <t xml:space="preserve">Outlet stoplog height above average trench bottom EL </t>
    </r>
    <r>
      <rPr>
        <i/>
        <sz val="10"/>
        <rFont val="Arial"/>
        <family val="2"/>
      </rPr>
      <t>(in)</t>
    </r>
  </si>
  <si>
    <t>Average trench bottom EL</t>
  </si>
  <si>
    <t>Inlet stoplog height</t>
  </si>
  <si>
    <t>Outlet stoplog height</t>
  </si>
  <si>
    <t>Stoplog settings for Operation and Maintenance Instructions:</t>
  </si>
  <si>
    <t>Upstream (diversion) structure:</t>
  </si>
  <si>
    <t>Downstream (capacity) structure:</t>
  </si>
  <si>
    <t>OVERRIDE</t>
  </si>
  <si>
    <t>inches below top of structure</t>
  </si>
  <si>
    <t>inches above bottom of structure</t>
  </si>
  <si>
    <t>EL</t>
  </si>
  <si>
    <t>Outlet structure height</t>
  </si>
  <si>
    <t>Flag for valid elevation entries</t>
  </si>
  <si>
    <t>INSTEAD: use average of Chun et al (see Conductivity tab)</t>
  </si>
  <si>
    <t>Default hydraulic conductivity</t>
  </si>
  <si>
    <t>Conductivity of wood media - default (ft/s)</t>
  </si>
  <si>
    <t>Conductivity to use</t>
  </si>
  <si>
    <r>
      <t xml:space="preserve">Design conductivity </t>
    </r>
    <r>
      <rPr>
        <i/>
        <sz val="10"/>
        <rFont val="Arial"/>
        <family val="2"/>
      </rPr>
      <t>(override default)</t>
    </r>
  </si>
  <si>
    <t>Ground surface EL at inlet structure</t>
  </si>
  <si>
    <t>Structure type (1 means str @ inlet and at outlet; 2 means inlet/outlet combined into a single structure)</t>
  </si>
  <si>
    <t>There are many possible combinations of length/width and stoplog settings that would achieve the design targets.  This is one potential design.  We used Option 2 for this example, but entered Option 1 information as well, to document the fact that the drainage coefficient method was the limiting factor of the methods considered.
Also, this example uses a combined inlet/outlet structure, so the entries for outlet structure bottom elevation and height are left blank.</t>
  </si>
  <si>
    <t>Alert for positive drainage (0=GOOD, 1=BAD)</t>
  </si>
  <si>
    <r>
      <t>Effective bioreactor chamber height H</t>
    </r>
    <r>
      <rPr>
        <vertAlign val="subscript"/>
        <sz val="10"/>
        <rFont val="Arial"/>
        <family val="2"/>
      </rPr>
      <t>1</t>
    </r>
    <r>
      <rPr>
        <sz val="10"/>
        <rFont val="Arial"/>
        <family val="2"/>
      </rPr>
      <t xml:space="preserve"> (ft)</t>
    </r>
  </si>
  <si>
    <t>Chun, J.A., R.A. Cooke, J.W. Eheart, M.S. Kang.  2009.  Estimation of flow and transport parameters for woodchip-based bioreactors: I. Laboratory-scale bioreactor.  Biosystems Engineering.  104(3): 384-395.</t>
  </si>
  <si>
    <t>Adapted from Illinois ILSS11Bioreactor_v1.7.xlsb</t>
  </si>
  <si>
    <t>1. Peak flow capacity of the tile main</t>
  </si>
  <si>
    <t>2. Tile system drainage area and drainage coefficient</t>
  </si>
  <si>
    <t>3. Direct entry (from model or other source)</t>
  </si>
  <si>
    <t>(15% of Option 1, 2, or 3 -  whichever is lowest)</t>
  </si>
  <si>
    <t>Program support:</t>
  </si>
  <si>
    <t>USDA Natural Resource Conservation Service</t>
  </si>
  <si>
    <t>515-284-4135</t>
  </si>
  <si>
    <t>User input cells</t>
  </si>
  <si>
    <t>(15% of Option 1, 2, or 3 - whichever is lowest)</t>
  </si>
  <si>
    <t>Refer to NRCS IA Conservation Practice Standard 605 for more information.</t>
  </si>
  <si>
    <t>Christianson, Laura, A. Bhandari,  M. Helmers. 2012. A Practice-Oriented Review of Woodchip Bioreactors for Subsurface Agricultural Drainage. Applied Engineering in Agriculture 28(6): 861-874.</t>
  </si>
  <si>
    <t>Feyereisen, G. W., L. Christianson. 2015. Technical Note: Hydraulic Flow Characteristics of Agricultural Residues for Denitrifying Bioreactor Media. Applied Engineering in Agriculture 31(1): 89-96.</t>
  </si>
  <si>
    <t>Three options are available for determining the capacity of the drainage system which feeds the bioreactor:</t>
  </si>
  <si>
    <t>Cooke, R.A. and N.L. Bell.  2013.  Protocol and Interactive Routine for the Design of Subsurface Bioreactors.  Applied Engineering in Agriculture 30(5): 761-771.</t>
  </si>
  <si>
    <t>Bioreactor design capacity is a minimum of 15% of the lowest computed drainage system flow.</t>
  </si>
  <si>
    <t>Updates:</t>
  </si>
  <si>
    <t>Interim</t>
  </si>
  <si>
    <t>Changed Manning's "n" selection to allow for clay and additional plastic tubing n-values. Previously the user could select from single wall (n=0.015) or dual wall (n-0.012) HDPE. However, many older mains are constructed from clay or concrete tile. (BCA)</t>
  </si>
  <si>
    <t>1. Revised schematic to eliminate depth below tile. (BCA)</t>
  </si>
  <si>
    <t>2. Hid input line for depth below tile (BCA)</t>
  </si>
  <si>
    <t>2. Revised schematic to add outlet water control structure and show additional input items. (BCA)</t>
  </si>
  <si>
    <t>210 Walnut St, Room 693, Des Moines, IA 50309</t>
  </si>
  <si>
    <t>Added References tab and references.</t>
  </si>
  <si>
    <t xml:space="preserve">2. Reset minimum peak flow treatment percent to 15% based on Christianson paper and research from Nashual bioreactor. </t>
  </si>
  <si>
    <t>3. Reset formatting on HRT and percent peak flow to reflect change 2.</t>
  </si>
  <si>
    <t>4. Added conditional formatting on width to warn when 4:1 length:width ratio was violated.</t>
  </si>
  <si>
    <t>1. Changed format to match IL spreadsheet. Adapted from ILSS11Bioreactor_v1.7xlsb, developed for Illinois by Ruth Book, PhD, PE, State Conservation Engineer, NRCS, Champaign, Illinois. This version incorporates site elevations, bioreactor slope, checks nitrate reduction %, and converts stoplog elevations to inches.</t>
  </si>
  <si>
    <t>Developed by M. Helmers &amp; L. Christianson, ABE, Iowa State University. Modified for NRCS use by Bruce Atherton, P.E., Agricultural Engineer, NRCS, Des Moines, IA.</t>
  </si>
  <si>
    <t>USDA Natural Resources Conservation Service, Iowa</t>
  </si>
  <si>
    <t>Cu. Yd. (for design sizing only, does not include additional for settlement)</t>
  </si>
  <si>
    <t>Woodchip volume =</t>
  </si>
  <si>
    <t>Minor formatting adjustments</t>
  </si>
  <si>
    <t>2. Adopted IL values for porosity and hydraulic conductivity. Porosity values used are based on drainable porosity. Conductivity values based on Cooke and van Driel field data (see references 3 and 11).</t>
  </si>
  <si>
    <t>Robertson, W. D., D. W. Blowes, C. J. Ptacek, and J. A. Cherry. 2000. Long‐term performance of in-situ reactive barriers for nitrate remediation. Ground Water 38(5): 689‐695.</t>
  </si>
  <si>
    <t>3. Set conditional formatting to meet current suggested criteria for percent of flow treated and hydraulic retention time. (BCA)</t>
  </si>
  <si>
    <t>1. Added Inlet Height and Outlet WCS Height as user inputs per Matt Helmers revisions. This allows changes in outlet height to adjust hydraulic retention time. (BCA)</t>
  </si>
  <si>
    <t>5. Changed conditional formatting to warn (yellow) when hydraulic retention time (HRT) was between 4-6 hours in addition to warning (red) when HRT was below 4 hours.</t>
  </si>
  <si>
    <t>Computes size, hydraulic retention time and nitrate load reduction for a denitrifying bioreactor.  The structure uses a carbon source (wood chips) to reduce the concentration of nitrate nitrogen in subsurface agricultural drainage flow via enhanced denitrification.</t>
  </si>
  <si>
    <t>1. Changed hydraulic conductivity to 4.5 cm/s based on recommendation from Laura Christianson. 2013 bioreactor performance averaged 15% nitrate load reduction, so this change should improve that.</t>
  </si>
  <si>
    <t>minimum 20%</t>
  </si>
  <si>
    <r>
      <t xml:space="preserve">Estimated load reduction, entire drained area </t>
    </r>
    <r>
      <rPr>
        <i/>
        <sz val="10"/>
        <rFont val="Arial"/>
        <family val="2"/>
      </rPr>
      <t>(%)</t>
    </r>
  </si>
  <si>
    <t>Design Warning Notes:</t>
  </si>
  <si>
    <t xml:space="preserve">1. CPS 605 criteria was updated.  Changed to match - either overall nitrate reduction or capacity and hydraulic retention time need to be met.  No longer all three need to be met.  </t>
  </si>
  <si>
    <t>2. Added Design Warning Notes that reports whether standard is not met, nitrate reduction is met, or capacity and retention time is met.</t>
  </si>
  <si>
    <t>3. Updated conditional formatting of nitrate reduction, hydraulic retention time, and capacity cells.  Will turn orange if one or the other criteria is not met, or red with strikethrough if none are met.</t>
  </si>
  <si>
    <t>Design Warning Notes</t>
  </si>
  <si>
    <t>All meet?</t>
  </si>
  <si>
    <t>Nitrate meets?</t>
  </si>
  <si>
    <t>Capacity &amp; Retention time meet?</t>
  </si>
  <si>
    <t>Calculated?</t>
  </si>
  <si>
    <t>Excavation Quantities</t>
  </si>
  <si>
    <r>
      <t>Ground EL, Inlet Corner 1 (</t>
    </r>
    <r>
      <rPr>
        <i/>
        <sz val="10"/>
        <rFont val="Arial"/>
        <family val="2"/>
      </rPr>
      <t>elevation)</t>
    </r>
  </si>
  <si>
    <r>
      <t>Ground EL, Inlet Corner 2 (</t>
    </r>
    <r>
      <rPr>
        <i/>
        <sz val="10"/>
        <rFont val="Arial"/>
        <family val="2"/>
      </rPr>
      <t>elevation)</t>
    </r>
  </si>
  <si>
    <r>
      <t>Ground EL, Outlet Corner 1 (</t>
    </r>
    <r>
      <rPr>
        <i/>
        <sz val="10"/>
        <rFont val="Arial"/>
        <family val="2"/>
      </rPr>
      <t>elevation)</t>
    </r>
  </si>
  <si>
    <r>
      <t>Ground EL, Outlet Corner 2 (</t>
    </r>
    <r>
      <rPr>
        <i/>
        <sz val="10"/>
        <rFont val="Arial"/>
        <family val="2"/>
      </rPr>
      <t>elevation)</t>
    </r>
  </si>
  <si>
    <t>Inlet 1 Depth</t>
  </si>
  <si>
    <t>Inlet 2 Depth</t>
  </si>
  <si>
    <t>Outlet 1 Depth</t>
  </si>
  <si>
    <t>Outlet 2 Depth</t>
  </si>
  <si>
    <r>
      <t>Excavation (</t>
    </r>
    <r>
      <rPr>
        <i/>
        <sz val="10"/>
        <rFont val="Arial"/>
        <family val="2"/>
      </rPr>
      <t>cu yds</t>
    </r>
    <r>
      <rPr>
        <sz val="10"/>
        <rFont val="Arial"/>
        <family val="2"/>
      </rPr>
      <t>)</t>
    </r>
  </si>
  <si>
    <r>
      <t>Woodchip Volume (</t>
    </r>
    <r>
      <rPr>
        <i/>
        <sz val="10"/>
        <rFont val="Arial"/>
        <family val="2"/>
      </rPr>
      <t>cu yds</t>
    </r>
    <r>
      <rPr>
        <sz val="10"/>
        <rFont val="Arial"/>
        <family val="2"/>
      </rPr>
      <t>)</t>
    </r>
  </si>
  <si>
    <r>
      <t>Mound height of woodchips (</t>
    </r>
    <r>
      <rPr>
        <i/>
        <sz val="10"/>
        <rFont val="Arial"/>
        <family val="2"/>
      </rPr>
      <t>ft)</t>
    </r>
  </si>
  <si>
    <t>Quantites:</t>
  </si>
  <si>
    <t>Mound height of soil cap (ft)</t>
  </si>
  <si>
    <r>
      <t xml:space="preserve">Mound height woodchips, </t>
    </r>
    <r>
      <rPr>
        <i/>
        <sz val="10"/>
        <rFont val="Arial"/>
        <family val="2"/>
      </rPr>
      <t>ft (override default)</t>
    </r>
  </si>
  <si>
    <r>
      <t xml:space="preserve">Mound height soil cap, </t>
    </r>
    <r>
      <rPr>
        <i/>
        <sz val="10"/>
        <rFont val="Arial"/>
        <family val="2"/>
      </rPr>
      <t>ft (override default)</t>
    </r>
  </si>
  <si>
    <t>Woodchip Quantities</t>
  </si>
  <si>
    <t>Mound height, soil cap</t>
  </si>
  <si>
    <t>Mound height, open</t>
  </si>
  <si>
    <t>Average Depth</t>
  </si>
  <si>
    <t>Elevations Present?</t>
  </si>
  <si>
    <t>Total Volume, cu yds</t>
  </si>
  <si>
    <t>Mound Vol</t>
  </si>
  <si>
    <t>Total Volume, soil cap, cu yds</t>
  </si>
  <si>
    <t>Total Volume, open, cu yds</t>
  </si>
  <si>
    <r>
      <t>Plastic Lining (</t>
    </r>
    <r>
      <rPr>
        <i/>
        <sz val="10"/>
        <rFont val="Arial"/>
        <family val="2"/>
      </rPr>
      <t>sq yds</t>
    </r>
    <r>
      <rPr>
        <sz val="10"/>
        <rFont val="Arial"/>
        <family val="2"/>
      </rPr>
      <t>) (does not include overlap)</t>
    </r>
  </si>
  <si>
    <t>Soil cap fill Volume (cu yds)</t>
  </si>
  <si>
    <t>Geotextile (sq yds) ( does not include overlap)</t>
  </si>
  <si>
    <t>Plastic Quantities</t>
  </si>
  <si>
    <t>w/Soil Cap</t>
  </si>
  <si>
    <t>Open</t>
  </si>
  <si>
    <t>Soil Cap Fill</t>
  </si>
  <si>
    <t>Fill to ground surface</t>
  </si>
  <si>
    <t>Mound Volume</t>
  </si>
  <si>
    <t>Average elev. Ground</t>
  </si>
  <si>
    <t>Dimensions present?</t>
  </si>
  <si>
    <t>Geotextile Quantities</t>
  </si>
  <si>
    <t>Added quantities calculations.</t>
  </si>
  <si>
    <t>Version 3.1</t>
  </si>
  <si>
    <t>IaDenitrifyingBioreactor.xlsx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</si>
</sst>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
    <numFmt numFmtId="165" formatCode="[$-409]mmmm\ d\,\ yyyy;@"/>
    <numFmt numFmtId="166" formatCode="0.0"/>
    <numFmt numFmtId="167" formatCode="0.0000"/>
    <numFmt numFmtId="168" formatCode="&quot;Manning's 'n' = &quot;0.000"/>
    <numFmt numFmtId="169" formatCode="0.000&quot; cfs&quot;"/>
    <numFmt numFmtId="170" formatCode="0.00&quot; ft/sec&quot;"/>
    <numFmt numFmtId="171" formatCode="&quot;L:W ratio = &quot;0.0"/>
  </numFmts>
  <fonts count="23" x14ac:knownFonts="1">
    <font>
      <sz val="10"/>
      <name val="Arial"/>
    </font>
    <font>
      <sz val="11"/>
      <color theme="1"/>
      <name val="Calibri"/>
      <family val="2"/>
      <scheme val="minor"/>
    </font>
    <font>
      <b/>
      <sz val="12"/>
      <color indexed="60"/>
      <name val="Arial"/>
      <family val="2"/>
    </font>
    <font>
      <sz val="10"/>
      <name val="Arial"/>
      <family val="2"/>
    </font>
    <font>
      <b/>
      <sz val="10"/>
      <name val="Arial"/>
      <family val="2"/>
    </font>
    <font>
      <i/>
      <sz val="10"/>
      <name val="Arial"/>
      <family val="2"/>
    </font>
    <font>
      <b/>
      <i/>
      <sz val="12"/>
      <color indexed="60"/>
      <name val="Arial"/>
      <family val="2"/>
    </font>
    <font>
      <sz val="12"/>
      <name val="Arial"/>
      <family val="2"/>
    </font>
    <font>
      <u/>
      <sz val="10"/>
      <name val="Arial"/>
      <family val="2"/>
    </font>
    <font>
      <b/>
      <i/>
      <sz val="12"/>
      <color theme="8" tint="-0.499984740745262"/>
      <name val="Arial"/>
      <family val="2"/>
    </font>
    <font>
      <i/>
      <sz val="9"/>
      <name val="Arial"/>
      <family val="2"/>
    </font>
    <font>
      <b/>
      <sz val="11"/>
      <color theme="1"/>
      <name val="Calibri"/>
      <family val="2"/>
      <scheme val="minor"/>
    </font>
    <font>
      <u/>
      <sz val="10"/>
      <color theme="10"/>
      <name val="Arial"/>
      <family val="2"/>
    </font>
    <font>
      <i/>
      <u/>
      <sz val="10"/>
      <color theme="10"/>
      <name val="Arial"/>
      <family val="2"/>
    </font>
    <font>
      <i/>
      <u/>
      <sz val="8"/>
      <color theme="10"/>
      <name val="Arial"/>
      <family val="2"/>
    </font>
    <font>
      <sz val="9"/>
      <color indexed="81"/>
      <name val="Tahoma"/>
      <family val="2"/>
    </font>
    <font>
      <b/>
      <sz val="9"/>
      <color indexed="81"/>
      <name val="Tahoma"/>
      <family val="2"/>
    </font>
    <font>
      <b/>
      <i/>
      <sz val="10"/>
      <color rgb="FFC00000"/>
      <name val="Arial"/>
      <family val="2"/>
    </font>
    <font>
      <b/>
      <i/>
      <sz val="10"/>
      <color rgb="FFC85740"/>
      <name val="Arial"/>
      <family val="2"/>
    </font>
    <font>
      <vertAlign val="subscript"/>
      <sz val="10"/>
      <name val="Arial"/>
      <family val="2"/>
    </font>
    <font>
      <i/>
      <sz val="10"/>
      <color rgb="FFFF0000"/>
      <name val="Arial"/>
      <family val="2"/>
    </font>
    <font>
      <sz val="10"/>
      <color rgb="FFC00000"/>
      <name val="Arial"/>
      <family val="2"/>
    </font>
    <font>
      <sz val="8"/>
      <name val="Arial"/>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indexed="9"/>
        <bgColor indexed="64"/>
      </patternFill>
    </fill>
    <fill>
      <patternFill patternType="solid">
        <fgColor rgb="FFFFFF00"/>
        <bgColor indexed="64"/>
      </patternFill>
    </fill>
    <fill>
      <patternFill patternType="solid">
        <fgColor rgb="FFFFFF99"/>
        <bgColor indexed="64"/>
      </patternFill>
    </fill>
  </fills>
  <borders count="36">
    <border>
      <left/>
      <right/>
      <top/>
      <bottom/>
      <diagonal/>
    </border>
    <border>
      <left style="double">
        <color indexed="64"/>
      </left>
      <right/>
      <top style="double">
        <color indexed="64"/>
      </top>
      <bottom/>
      <diagonal/>
    </border>
    <border>
      <left style="double">
        <color indexed="64"/>
      </left>
      <right/>
      <top/>
      <bottom/>
      <diagonal/>
    </border>
    <border>
      <left/>
      <right style="double">
        <color indexed="64"/>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double">
        <color indexed="64"/>
      </right>
      <top style="thin">
        <color indexed="64"/>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diagonal/>
    </border>
    <border>
      <left/>
      <right/>
      <top/>
      <bottom style="double">
        <color indexed="64"/>
      </bottom>
      <diagonal/>
    </border>
    <border>
      <left/>
      <right style="double">
        <color auto="1"/>
      </right>
      <top style="double">
        <color auto="1"/>
      </top>
      <bottom/>
      <diagonal/>
    </border>
    <border>
      <left style="double">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double">
        <color indexed="64"/>
      </right>
      <top/>
      <bottom style="thin">
        <color indexed="64"/>
      </bottom>
      <diagonal/>
    </border>
    <border>
      <left style="thin">
        <color indexed="64"/>
      </left>
      <right style="double">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uble">
        <color indexed="64"/>
      </right>
      <top style="thin">
        <color indexed="64"/>
      </top>
      <bottom/>
      <diagonal/>
    </border>
    <border>
      <left style="thin">
        <color indexed="64"/>
      </left>
      <right style="double">
        <color indexed="64"/>
      </right>
      <top style="thin">
        <color indexed="64"/>
      </top>
      <bottom style="double">
        <color indexed="64"/>
      </bottom>
      <diagonal/>
    </border>
    <border>
      <left/>
      <right/>
      <top style="thin">
        <color auto="1"/>
      </top>
      <bottom style="thin">
        <color indexed="64"/>
      </bottom>
      <diagonal/>
    </border>
    <border>
      <left/>
      <right/>
      <top/>
      <bottom style="medium">
        <color indexed="64"/>
      </bottom>
      <diagonal/>
    </border>
    <border>
      <left style="thin">
        <color auto="1"/>
      </left>
      <right style="double">
        <color auto="1"/>
      </right>
      <top style="double">
        <color auto="1"/>
      </top>
      <bottom style="thin">
        <color auto="1"/>
      </bottom>
      <diagonal/>
    </border>
  </borders>
  <cellStyleXfs count="4">
    <xf numFmtId="0" fontId="0" fillId="0" borderId="0"/>
    <xf numFmtId="0" fontId="3" fillId="0" borderId="0"/>
    <xf numFmtId="0" fontId="1" fillId="0" borderId="0"/>
    <xf numFmtId="0" fontId="12" fillId="0" borderId="0" applyNumberFormat="0" applyFill="0" applyBorder="0" applyAlignment="0" applyProtection="0"/>
  </cellStyleXfs>
  <cellXfs count="228">
    <xf numFmtId="0" fontId="0" fillId="0" borderId="0" xfId="0"/>
    <xf numFmtId="0" fontId="0" fillId="2" borderId="0" xfId="0" applyFill="1"/>
    <xf numFmtId="0" fontId="3" fillId="0" borderId="2" xfId="0" applyFont="1" applyBorder="1"/>
    <xf numFmtId="0" fontId="3" fillId="0" borderId="0" xfId="0" applyFont="1" applyAlignment="1">
      <alignment wrapText="1"/>
    </xf>
    <xf numFmtId="0" fontId="0" fillId="0" borderId="0" xfId="0" applyAlignment="1">
      <alignment wrapText="1"/>
    </xf>
    <xf numFmtId="0" fontId="3" fillId="0" borderId="0" xfId="0" applyFont="1" applyAlignment="1" applyProtection="1">
      <alignment wrapText="1"/>
      <protection locked="0"/>
    </xf>
    <xf numFmtId="0" fontId="3" fillId="0" borderId="0" xfId="0" applyFont="1"/>
    <xf numFmtId="0" fontId="0" fillId="0" borderId="5" xfId="0" applyBorder="1" applyProtection="1">
      <protection locked="0"/>
    </xf>
    <xf numFmtId="0" fontId="7" fillId="3" borderId="4" xfId="0" applyFont="1" applyFill="1" applyBorder="1" applyProtection="1">
      <protection locked="0"/>
    </xf>
    <xf numFmtId="0" fontId="5" fillId="0" borderId="0" xfId="0" applyFont="1" applyAlignment="1">
      <alignment vertical="top"/>
    </xf>
    <xf numFmtId="0" fontId="0" fillId="0" borderId="0" xfId="0" applyAlignment="1">
      <alignment vertical="top"/>
    </xf>
    <xf numFmtId="0" fontId="6" fillId="0" borderId="0" xfId="0" applyFont="1" applyAlignment="1">
      <alignment horizontal="right"/>
    </xf>
    <xf numFmtId="0" fontId="2" fillId="0" borderId="0" xfId="0" applyFont="1" applyAlignment="1">
      <alignment horizontal="right"/>
    </xf>
    <xf numFmtId="0" fontId="2" fillId="0" borderId="0" xfId="0" applyFont="1" applyAlignment="1">
      <alignment horizontal="center"/>
    </xf>
    <xf numFmtId="0" fontId="3" fillId="0" borderId="1" xfId="0" applyFont="1" applyBorder="1"/>
    <xf numFmtId="0" fontId="0" fillId="0" borderId="11" xfId="0" applyBorder="1"/>
    <xf numFmtId="0" fontId="5" fillId="0" borderId="0" xfId="0" applyFont="1"/>
    <xf numFmtId="0" fontId="0" fillId="0" borderId="3" xfId="0" applyBorder="1"/>
    <xf numFmtId="0" fontId="0" fillId="3" borderId="6" xfId="0" applyFill="1" applyBorder="1" applyAlignment="1" applyProtection="1">
      <alignment horizontal="center"/>
      <protection locked="0"/>
    </xf>
    <xf numFmtId="0" fontId="5" fillId="0" borderId="0" xfId="0" applyFont="1" applyAlignment="1">
      <alignment vertical="center"/>
    </xf>
    <xf numFmtId="0" fontId="0" fillId="0" borderId="12" xfId="0" applyBorder="1"/>
    <xf numFmtId="0" fontId="3" fillId="0" borderId="11" xfId="0" applyFont="1" applyBorder="1"/>
    <xf numFmtId="169" fontId="5" fillId="0" borderId="0" xfId="0" applyNumberFormat="1" applyFont="1" applyAlignment="1">
      <alignment horizontal="center"/>
    </xf>
    <xf numFmtId="0" fontId="9" fillId="0" borderId="0" xfId="0" applyFont="1" applyAlignment="1">
      <alignment horizontal="left"/>
    </xf>
    <xf numFmtId="0" fontId="4" fillId="0" borderId="1" xfId="0" applyFont="1" applyBorder="1" applyAlignment="1">
      <alignment horizontal="left"/>
    </xf>
    <xf numFmtId="0" fontId="4" fillId="0" borderId="11" xfId="0" applyFont="1" applyBorder="1" applyAlignment="1">
      <alignment horizontal="left"/>
    </xf>
    <xf numFmtId="0" fontId="4" fillId="0" borderId="0" xfId="0" applyFont="1" applyAlignment="1">
      <alignment horizontal="left"/>
    </xf>
    <xf numFmtId="0" fontId="3" fillId="0" borderId="7" xfId="0" applyFont="1" applyBorder="1"/>
    <xf numFmtId="0" fontId="0" fillId="0" borderId="8" xfId="0" applyBorder="1"/>
    <xf numFmtId="0" fontId="3" fillId="0" borderId="14" xfId="0" applyFont="1" applyBorder="1"/>
    <xf numFmtId="0" fontId="0" fillId="0" borderId="15" xfId="0" applyBorder="1"/>
    <xf numFmtId="0" fontId="0" fillId="0" borderId="10" xfId="0" applyBorder="1" applyAlignment="1">
      <alignment horizontal="center"/>
    </xf>
    <xf numFmtId="2" fontId="0" fillId="3" borderId="5" xfId="0" applyNumberFormat="1" applyFill="1" applyBorder="1" applyAlignment="1" applyProtection="1">
      <alignment horizontal="center"/>
      <protection locked="0"/>
    </xf>
    <xf numFmtId="0" fontId="0" fillId="0" borderId="16" xfId="0" applyBorder="1" applyAlignment="1">
      <alignment horizontal="center"/>
    </xf>
    <xf numFmtId="170" fontId="5" fillId="0" borderId="16" xfId="0" applyNumberFormat="1" applyFont="1" applyBorder="1" applyAlignment="1">
      <alignment horizontal="center"/>
    </xf>
    <xf numFmtId="0" fontId="3" fillId="0" borderId="17" xfId="0" applyFont="1" applyBorder="1"/>
    <xf numFmtId="0" fontId="3" fillId="0" borderId="18" xfId="0" applyFont="1" applyBorder="1"/>
    <xf numFmtId="0" fontId="3" fillId="0" borderId="19" xfId="0" applyFont="1" applyBorder="1" applyAlignment="1">
      <alignment vertical="center"/>
    </xf>
    <xf numFmtId="0" fontId="0" fillId="0" borderId="4" xfId="0" applyBorder="1" applyAlignment="1">
      <alignment vertical="center"/>
    </xf>
    <xf numFmtId="169" fontId="5" fillId="0" borderId="20" xfId="0" applyNumberFormat="1" applyFont="1" applyBorder="1" applyAlignment="1">
      <alignment vertical="center"/>
    </xf>
    <xf numFmtId="0" fontId="8" fillId="0" borderId="0" xfId="0" applyFont="1"/>
    <xf numFmtId="0" fontId="3" fillId="0" borderId="0" xfId="0" applyFont="1" applyAlignment="1">
      <alignment horizontal="center"/>
    </xf>
    <xf numFmtId="0" fontId="0" fillId="0" borderId="0" xfId="0" applyAlignment="1">
      <alignment horizontal="center"/>
    </xf>
    <xf numFmtId="0" fontId="4" fillId="4" borderId="9" xfId="0" applyFont="1" applyFill="1" applyBorder="1"/>
    <xf numFmtId="0" fontId="4" fillId="4" borderId="10" xfId="0" applyFont="1" applyFill="1" applyBorder="1"/>
    <xf numFmtId="0" fontId="0" fillId="4" borderId="9" xfId="0" applyFill="1" applyBorder="1"/>
    <xf numFmtId="0" fontId="0" fillId="4" borderId="10" xfId="0" applyFill="1" applyBorder="1"/>
    <xf numFmtId="164" fontId="0" fillId="0" borderId="0" xfId="0" applyNumberFormat="1" applyAlignment="1">
      <alignment horizontal="center"/>
    </xf>
    <xf numFmtId="0" fontId="0" fillId="0" borderId="13" xfId="0" applyBorder="1"/>
    <xf numFmtId="0" fontId="0" fillId="0" borderId="0" xfId="0" applyAlignment="1">
      <alignment vertical="center"/>
    </xf>
    <xf numFmtId="0" fontId="3" fillId="0" borderId="12" xfId="0" applyFont="1" applyBorder="1"/>
    <xf numFmtId="0" fontId="5" fillId="0" borderId="12" xfId="0" applyFont="1" applyBorder="1"/>
    <xf numFmtId="0" fontId="3" fillId="0" borderId="2" xfId="0" applyFont="1" applyBorder="1" applyAlignment="1">
      <alignment vertical="center"/>
    </xf>
    <xf numFmtId="169" fontId="5" fillId="0" borderId="16" xfId="0" applyNumberFormat="1" applyFont="1" applyBorder="1" applyAlignment="1">
      <alignment horizontal="center" vertical="center"/>
    </xf>
    <xf numFmtId="0" fontId="3" fillId="0" borderId="17" xfId="0" applyFont="1" applyBorder="1" applyAlignment="1">
      <alignment vertical="center"/>
    </xf>
    <xf numFmtId="0" fontId="0" fillId="0" borderId="15" xfId="0" applyBorder="1" applyAlignment="1">
      <alignment vertical="center"/>
    </xf>
    <xf numFmtId="0" fontId="0" fillId="3" borderId="21" xfId="0" applyFill="1" applyBorder="1" applyAlignment="1" applyProtection="1">
      <alignment horizontal="center" vertical="center"/>
      <protection locked="0"/>
    </xf>
    <xf numFmtId="169" fontId="5" fillId="0" borderId="11" xfId="0" applyNumberFormat="1" applyFont="1" applyBorder="1" applyAlignment="1">
      <alignment horizontal="center"/>
    </xf>
    <xf numFmtId="0" fontId="3" fillId="0" borderId="3" xfId="0" applyFont="1" applyBorder="1" applyAlignment="1">
      <alignment horizontal="center"/>
    </xf>
    <xf numFmtId="169" fontId="3" fillId="0" borderId="13" xfId="0" applyNumberFormat="1" applyFont="1" applyBorder="1" applyAlignment="1">
      <alignment horizontal="center"/>
    </xf>
    <xf numFmtId="0" fontId="0" fillId="0" borderId="3" xfId="0" applyBorder="1" applyAlignment="1">
      <alignment horizontal="center"/>
    </xf>
    <xf numFmtId="167" fontId="0" fillId="0" borderId="3" xfId="0" applyNumberFormat="1" applyBorder="1" applyAlignment="1">
      <alignment horizontal="center"/>
    </xf>
    <xf numFmtId="2" fontId="0" fillId="0" borderId="3" xfId="0" applyNumberFormat="1" applyBorder="1" applyAlignment="1">
      <alignment horizontal="center"/>
    </xf>
    <xf numFmtId="166" fontId="0" fillId="0" borderId="3" xfId="0" applyNumberFormat="1" applyBorder="1" applyAlignment="1">
      <alignment horizontal="center"/>
    </xf>
    <xf numFmtId="164" fontId="0" fillId="0" borderId="3" xfId="0" applyNumberFormat="1" applyBorder="1" applyAlignment="1">
      <alignment horizontal="center"/>
    </xf>
    <xf numFmtId="0" fontId="11" fillId="0" borderId="0" xfId="0" applyFont="1"/>
    <xf numFmtId="0" fontId="11" fillId="5" borderId="22" xfId="0" applyFont="1" applyFill="1" applyBorder="1" applyAlignment="1">
      <alignment horizontal="center" vertical="center" wrapText="1"/>
    </xf>
    <xf numFmtId="0" fontId="11" fillId="5" borderId="23" xfId="0" applyFont="1" applyFill="1" applyBorder="1" applyAlignment="1">
      <alignment horizontal="center" vertical="center" wrapText="1"/>
    </xf>
    <xf numFmtId="0" fontId="11" fillId="5" borderId="24" xfId="0" applyFont="1" applyFill="1" applyBorder="1" applyAlignment="1">
      <alignment horizontal="center" vertical="center" wrapText="1"/>
    </xf>
    <xf numFmtId="0" fontId="0" fillId="0" borderId="25" xfId="0" applyBorder="1" applyProtection="1">
      <protection locked="0"/>
    </xf>
    <xf numFmtId="0" fontId="0" fillId="0" borderId="26" xfId="0" applyBorder="1" applyAlignment="1">
      <alignment horizontal="center" vertical="center"/>
    </xf>
    <xf numFmtId="167" fontId="0" fillId="0" borderId="5" xfId="0" applyNumberFormat="1" applyBorder="1" applyAlignment="1">
      <alignment horizontal="center" vertical="center"/>
    </xf>
    <xf numFmtId="167" fontId="0" fillId="0" borderId="27" xfId="0" applyNumberFormat="1" applyBorder="1" applyAlignment="1">
      <alignment horizontal="center" vertical="center"/>
    </xf>
    <xf numFmtId="0" fontId="0" fillId="0" borderId="28" xfId="0" applyBorder="1" applyAlignment="1">
      <alignment horizontal="center" vertical="center"/>
    </xf>
    <xf numFmtId="167" fontId="0" fillId="0" borderId="29" xfId="0" applyNumberFormat="1" applyBorder="1" applyAlignment="1">
      <alignment horizontal="center" vertical="center"/>
    </xf>
    <xf numFmtId="167" fontId="0" fillId="0" borderId="30" xfId="0" applyNumberFormat="1" applyBorder="1" applyAlignment="1">
      <alignment horizontal="center" vertical="center"/>
    </xf>
    <xf numFmtId="0" fontId="0" fillId="0" borderId="0" xfId="0" applyAlignment="1">
      <alignment horizontal="center" vertical="center"/>
    </xf>
    <xf numFmtId="2" fontId="0" fillId="0" borderId="5" xfId="0" applyNumberFormat="1" applyBorder="1" applyAlignment="1">
      <alignment horizontal="center" vertical="center"/>
    </xf>
    <xf numFmtId="2" fontId="0" fillId="0" borderId="27" xfId="0" applyNumberFormat="1" applyBorder="1" applyAlignment="1">
      <alignment horizontal="center" vertical="center"/>
    </xf>
    <xf numFmtId="2" fontId="0" fillId="0" borderId="29" xfId="0" applyNumberFormat="1" applyBorder="1" applyAlignment="1">
      <alignment horizontal="center" vertical="center"/>
    </xf>
    <xf numFmtId="2" fontId="0" fillId="0" borderId="30" xfId="0" applyNumberFormat="1" applyBorder="1" applyAlignment="1">
      <alignment horizontal="center" vertical="center"/>
    </xf>
    <xf numFmtId="0" fontId="0" fillId="0" borderId="2" xfId="0" applyBorder="1"/>
    <xf numFmtId="0" fontId="3" fillId="0" borderId="0" xfId="1"/>
    <xf numFmtId="0" fontId="3" fillId="0" borderId="5" xfId="1" applyBorder="1" applyProtection="1">
      <protection locked="0"/>
    </xf>
    <xf numFmtId="0" fontId="11" fillId="0" borderId="0" xfId="1" applyFont="1"/>
    <xf numFmtId="0" fontId="11" fillId="5" borderId="22" xfId="1" applyFont="1" applyFill="1" applyBorder="1" applyAlignment="1">
      <alignment horizontal="center" vertical="center" wrapText="1"/>
    </xf>
    <xf numFmtId="0" fontId="11" fillId="5" borderId="23" xfId="1" applyFont="1" applyFill="1" applyBorder="1" applyAlignment="1">
      <alignment horizontal="center" vertical="center" wrapText="1"/>
    </xf>
    <xf numFmtId="0" fontId="11" fillId="5" borderId="24" xfId="1" applyFont="1" applyFill="1" applyBorder="1" applyAlignment="1">
      <alignment horizontal="center" vertical="center" wrapText="1"/>
    </xf>
    <xf numFmtId="0" fontId="3" fillId="0" borderId="25" xfId="1" applyBorder="1" applyProtection="1">
      <protection locked="0"/>
    </xf>
    <xf numFmtId="0" fontId="3" fillId="0" borderId="26" xfId="1" applyBorder="1" applyAlignment="1">
      <alignment horizontal="center" vertical="center"/>
    </xf>
    <xf numFmtId="167" fontId="3" fillId="0" borderId="5" xfId="1" applyNumberFormat="1" applyBorder="1" applyAlignment="1">
      <alignment horizontal="center" vertical="center"/>
    </xf>
    <xf numFmtId="167" fontId="3" fillId="0" borderId="27" xfId="1" applyNumberFormat="1" applyBorder="1" applyAlignment="1">
      <alignment horizontal="center" vertical="center"/>
    </xf>
    <xf numFmtId="0" fontId="3" fillId="0" borderId="28" xfId="1" applyBorder="1" applyAlignment="1">
      <alignment horizontal="center" vertical="center"/>
    </xf>
    <xf numFmtId="167" fontId="3" fillId="0" borderId="29" xfId="1" applyNumberFormat="1" applyBorder="1" applyAlignment="1">
      <alignment horizontal="center" vertical="center"/>
    </xf>
    <xf numFmtId="167" fontId="3" fillId="0" borderId="30" xfId="1" applyNumberFormat="1" applyBorder="1" applyAlignment="1">
      <alignment horizontal="center" vertical="center"/>
    </xf>
    <xf numFmtId="0" fontId="3" fillId="0" borderId="0" xfId="1" applyAlignment="1">
      <alignment horizontal="center" vertical="center"/>
    </xf>
    <xf numFmtId="2" fontId="3" fillId="0" borderId="5" xfId="1" applyNumberFormat="1" applyBorder="1" applyAlignment="1">
      <alignment horizontal="center" vertical="center"/>
    </xf>
    <xf numFmtId="2" fontId="3" fillId="0" borderId="27" xfId="1" applyNumberFormat="1" applyBorder="1" applyAlignment="1">
      <alignment horizontal="center" vertical="center"/>
    </xf>
    <xf numFmtId="2" fontId="3" fillId="0" borderId="29" xfId="1" applyNumberFormat="1" applyBorder="1" applyAlignment="1">
      <alignment horizontal="center" vertical="center"/>
    </xf>
    <xf numFmtId="2" fontId="3" fillId="0" borderId="30" xfId="1" applyNumberFormat="1" applyBorder="1" applyAlignment="1">
      <alignment horizontal="center" vertical="center"/>
    </xf>
    <xf numFmtId="0" fontId="12" fillId="0" borderId="0" xfId="3"/>
    <xf numFmtId="0" fontId="4" fillId="4" borderId="9" xfId="1" applyFont="1" applyFill="1" applyBorder="1"/>
    <xf numFmtId="0" fontId="4" fillId="4" borderId="10" xfId="1" applyFont="1" applyFill="1" applyBorder="1"/>
    <xf numFmtId="0" fontId="3" fillId="0" borderId="0" xfId="1" applyAlignment="1">
      <alignment horizontal="center"/>
    </xf>
    <xf numFmtId="0" fontId="3" fillId="4" borderId="9" xfId="1" applyFill="1" applyBorder="1"/>
    <xf numFmtId="0" fontId="3" fillId="4" borderId="10" xfId="1" applyFill="1" applyBorder="1"/>
    <xf numFmtId="164" fontId="3" fillId="0" borderId="0" xfId="1" applyNumberFormat="1" applyAlignment="1">
      <alignment horizontal="center"/>
    </xf>
    <xf numFmtId="2" fontId="3" fillId="0" borderId="3" xfId="1" applyNumberFormat="1" applyBorder="1" applyAlignment="1">
      <alignment horizontal="center"/>
    </xf>
    <xf numFmtId="167" fontId="3" fillId="0" borderId="3" xfId="0" applyNumberFormat="1" applyFont="1" applyBorder="1" applyAlignment="1">
      <alignment horizontal="center"/>
    </xf>
    <xf numFmtId="0" fontId="3" fillId="0" borderId="5" xfId="1" applyBorder="1"/>
    <xf numFmtId="166" fontId="0" fillId="0" borderId="32" xfId="0" applyNumberFormat="1" applyBorder="1" applyAlignment="1">
      <alignment horizontal="center"/>
    </xf>
    <xf numFmtId="169" fontId="18" fillId="0" borderId="12" xfId="0" applyNumberFormat="1" applyFont="1" applyBorder="1" applyAlignment="1">
      <alignment horizontal="center"/>
    </xf>
    <xf numFmtId="0" fontId="17" fillId="2" borderId="1" xfId="0" applyFont="1" applyFill="1" applyBorder="1"/>
    <xf numFmtId="1" fontId="0" fillId="3" borderId="0" xfId="0" applyNumberFormat="1" applyFill="1" applyAlignment="1" applyProtection="1">
      <alignment horizontal="center"/>
      <protection locked="0"/>
    </xf>
    <xf numFmtId="1" fontId="0" fillId="3" borderId="0" xfId="0" applyNumberFormat="1" applyFill="1" applyAlignment="1" applyProtection="1">
      <alignment horizontal="center" vertical="center"/>
      <protection locked="0"/>
    </xf>
    <xf numFmtId="0" fontId="0" fillId="3" borderId="0" xfId="0" applyFill="1" applyAlignment="1" applyProtection="1">
      <alignment horizontal="center" vertical="center"/>
      <protection locked="0"/>
    </xf>
    <xf numFmtId="166" fontId="0" fillId="3" borderId="0" xfId="0" applyNumberFormat="1" applyFill="1" applyAlignment="1" applyProtection="1">
      <alignment horizontal="center" vertical="center"/>
      <protection locked="0"/>
    </xf>
    <xf numFmtId="166" fontId="0" fillId="0" borderId="0" xfId="0" applyNumberFormat="1"/>
    <xf numFmtId="0" fontId="0" fillId="0" borderId="0" xfId="0" applyAlignment="1" applyProtection="1">
      <alignment horizontal="center" vertical="center"/>
      <protection locked="0"/>
    </xf>
    <xf numFmtId="166" fontId="0" fillId="0" borderId="0" xfId="0" applyNumberFormat="1" applyAlignment="1" applyProtection="1">
      <alignment horizontal="center" vertical="center"/>
      <protection locked="0"/>
    </xf>
    <xf numFmtId="0" fontId="0" fillId="0" borderId="0" xfId="0" applyAlignment="1">
      <alignment horizontal="right"/>
    </xf>
    <xf numFmtId="1" fontId="0" fillId="2" borderId="0" xfId="0" applyNumberFormat="1" applyFill="1" applyAlignment="1">
      <alignment horizontal="center"/>
    </xf>
    <xf numFmtId="0" fontId="5" fillId="2" borderId="0" xfId="0" applyFont="1" applyFill="1" applyAlignment="1">
      <alignment horizontal="left"/>
    </xf>
    <xf numFmtId="0" fontId="0" fillId="2" borderId="0" xfId="0" applyFill="1" applyAlignment="1">
      <alignment horizontal="center"/>
    </xf>
    <xf numFmtId="2" fontId="0" fillId="0" borderId="31" xfId="0" applyNumberFormat="1" applyBorder="1" applyAlignment="1">
      <alignment horizontal="center"/>
    </xf>
    <xf numFmtId="167" fontId="0" fillId="3" borderId="3" xfId="0" applyNumberFormat="1" applyFill="1" applyBorder="1" applyAlignment="1" applyProtection="1">
      <alignment horizontal="center"/>
      <protection locked="0"/>
    </xf>
    <xf numFmtId="166" fontId="0" fillId="3" borderId="0" xfId="0" applyNumberFormat="1" applyFill="1" applyAlignment="1" applyProtection="1">
      <alignment horizontal="center"/>
      <protection locked="0"/>
    </xf>
    <xf numFmtId="166" fontId="0" fillId="0" borderId="0" xfId="0" applyNumberFormat="1" applyAlignment="1">
      <alignment horizontal="center"/>
    </xf>
    <xf numFmtId="0" fontId="0" fillId="0" borderId="5" xfId="0" applyBorder="1" applyAlignment="1">
      <alignment horizontal="center"/>
    </xf>
    <xf numFmtId="0" fontId="20" fillId="0" borderId="0" xfId="0" applyFont="1"/>
    <xf numFmtId="165" fontId="5" fillId="0" borderId="0" xfId="0" applyNumberFormat="1" applyFont="1" applyAlignment="1">
      <alignment horizontal="right" vertical="top"/>
    </xf>
    <xf numFmtId="0" fontId="7" fillId="4" borderId="9" xfId="0" applyFont="1" applyFill="1" applyBorder="1"/>
    <xf numFmtId="0" fontId="4" fillId="0" borderId="0" xfId="0" applyFont="1"/>
    <xf numFmtId="0" fontId="4" fillId="0" borderId="0" xfId="0" applyFont="1" applyAlignment="1">
      <alignment horizontal="center" wrapText="1"/>
    </xf>
    <xf numFmtId="165" fontId="5" fillId="0" borderId="0" xfId="0" applyNumberFormat="1" applyFont="1" applyAlignment="1">
      <alignment vertical="top"/>
    </xf>
    <xf numFmtId="0" fontId="0" fillId="6" borderId="6" xfId="0" applyFill="1" applyBorder="1" applyAlignment="1" applyProtection="1">
      <alignment horizontal="center"/>
      <protection locked="0"/>
    </xf>
    <xf numFmtId="167" fontId="0" fillId="6" borderId="3" xfId="0" applyNumberFormat="1" applyFill="1" applyBorder="1" applyAlignment="1" applyProtection="1">
      <alignment horizontal="center"/>
      <protection locked="0"/>
    </xf>
    <xf numFmtId="2" fontId="0" fillId="6" borderId="5" xfId="0" applyNumberFormat="1" applyFill="1" applyBorder="1" applyAlignment="1" applyProtection="1">
      <alignment horizontal="center"/>
      <protection locked="0"/>
    </xf>
    <xf numFmtId="0" fontId="0" fillId="6" borderId="21" xfId="0" applyFill="1" applyBorder="1" applyAlignment="1" applyProtection="1">
      <alignment horizontal="center" vertical="center"/>
      <protection locked="0"/>
    </xf>
    <xf numFmtId="166" fontId="0" fillId="6" borderId="0" xfId="0" applyNumberFormat="1" applyFill="1" applyAlignment="1" applyProtection="1">
      <alignment horizontal="center"/>
      <protection locked="0"/>
    </xf>
    <xf numFmtId="1" fontId="0" fillId="6" borderId="0" xfId="0" applyNumberFormat="1" applyFill="1" applyAlignment="1" applyProtection="1">
      <alignment horizontal="center" vertical="center"/>
      <protection locked="0"/>
    </xf>
    <xf numFmtId="166" fontId="0" fillId="6" borderId="0" xfId="0" applyNumberFormat="1" applyFill="1" applyAlignment="1" applyProtection="1">
      <alignment horizontal="center" vertical="center"/>
      <protection locked="0"/>
    </xf>
    <xf numFmtId="0" fontId="0" fillId="6" borderId="0" xfId="0" applyFill="1" applyAlignment="1" applyProtection="1">
      <alignment horizontal="center" vertical="center"/>
      <protection locked="0"/>
    </xf>
    <xf numFmtId="0" fontId="7" fillId="6" borderId="4" xfId="0" applyFont="1" applyFill="1" applyBorder="1" applyProtection="1">
      <protection locked="0"/>
    </xf>
    <xf numFmtId="0" fontId="3" fillId="0" borderId="0" xfId="0" applyFont="1" applyAlignment="1">
      <alignment vertical="center"/>
    </xf>
    <xf numFmtId="0" fontId="5" fillId="0" borderId="0" xfId="0" applyFont="1" applyAlignment="1">
      <alignment horizontal="right"/>
    </xf>
    <xf numFmtId="1" fontId="0" fillId="6" borderId="0" xfId="0" applyNumberFormat="1" applyFill="1" applyAlignment="1" applyProtection="1">
      <alignment horizontal="center"/>
      <protection locked="0"/>
    </xf>
    <xf numFmtId="0" fontId="0" fillId="0" borderId="0" xfId="0" applyAlignment="1">
      <alignment horizontal="right" vertical="top"/>
    </xf>
    <xf numFmtId="0" fontId="3" fillId="0" borderId="0" xfId="0" applyFont="1" applyAlignment="1">
      <alignment horizontal="left" vertical="center"/>
    </xf>
    <xf numFmtId="0" fontId="0" fillId="0" borderId="0" xfId="0" applyAlignment="1">
      <alignment vertical="top" wrapText="1"/>
    </xf>
    <xf numFmtId="0" fontId="0" fillId="0" borderId="0" xfId="0" applyAlignment="1" applyProtection="1">
      <alignment vertical="top"/>
      <protection locked="0"/>
    </xf>
    <xf numFmtId="0" fontId="3" fillId="0" borderId="0" xfId="0" applyFont="1" applyAlignment="1">
      <alignment vertical="top"/>
    </xf>
    <xf numFmtId="0" fontId="4" fillId="0" borderId="0" xfId="0" applyFont="1" applyAlignment="1">
      <alignment vertical="top"/>
    </xf>
    <xf numFmtId="14" fontId="0" fillId="0" borderId="0" xfId="0" applyNumberFormat="1" applyAlignment="1" applyProtection="1">
      <alignment horizontal="center" vertical="top"/>
      <protection locked="0"/>
    </xf>
    <xf numFmtId="0" fontId="3" fillId="0" borderId="4" xfId="0" applyFont="1" applyBorder="1" applyAlignment="1">
      <alignment horizontal="center" vertical="top"/>
    </xf>
    <xf numFmtId="14" fontId="0" fillId="0" borderId="0" xfId="0" applyNumberFormat="1" applyAlignment="1">
      <alignment horizontal="center" vertical="top"/>
    </xf>
    <xf numFmtId="166" fontId="3" fillId="0" borderId="0" xfId="0" quotePrefix="1" applyNumberFormat="1" applyFont="1" applyAlignment="1">
      <alignment horizontal="center" vertical="top" wrapText="1"/>
    </xf>
    <xf numFmtId="0" fontId="21" fillId="0" borderId="0" xfId="0" applyFont="1"/>
    <xf numFmtId="0" fontId="0" fillId="6" borderId="0" xfId="0" applyFill="1"/>
    <xf numFmtId="0" fontId="3" fillId="0" borderId="0" xfId="0" applyFont="1" applyAlignment="1">
      <alignment horizontal="right"/>
    </xf>
    <xf numFmtId="1" fontId="0" fillId="0" borderId="5" xfId="0" applyNumberFormat="1" applyBorder="1" applyAlignment="1">
      <alignment horizontal="right"/>
    </xf>
    <xf numFmtId="14" fontId="3" fillId="0" borderId="0" xfId="0" applyNumberFormat="1" applyFont="1" applyAlignment="1">
      <alignment horizontal="center" vertical="top"/>
    </xf>
    <xf numFmtId="166" fontId="0" fillId="0" borderId="0" xfId="0" applyNumberFormat="1" applyAlignment="1">
      <alignment horizontal="center" vertical="center"/>
    </xf>
    <xf numFmtId="0" fontId="3" fillId="2" borderId="4" xfId="0" applyFont="1" applyFill="1" applyBorder="1" applyAlignment="1">
      <alignment wrapText="1"/>
    </xf>
    <xf numFmtId="0" fontId="3" fillId="0" borderId="34" xfId="0" applyFont="1" applyBorder="1" applyAlignment="1">
      <alignment horizontal="center" vertical="top"/>
    </xf>
    <xf numFmtId="0" fontId="3" fillId="0" borderId="34" xfId="0" applyFont="1" applyBorder="1"/>
    <xf numFmtId="14" fontId="0" fillId="0" borderId="33" xfId="0" applyNumberFormat="1" applyBorder="1" applyAlignment="1" applyProtection="1">
      <alignment horizontal="center" vertical="top"/>
      <protection locked="0"/>
    </xf>
    <xf numFmtId="0" fontId="0" fillId="0" borderId="33" xfId="0" applyBorder="1"/>
    <xf numFmtId="0" fontId="3" fillId="0" borderId="33" xfId="0" applyFont="1" applyBorder="1" applyAlignment="1" applyProtection="1">
      <alignment wrapText="1"/>
      <protection locked="0"/>
    </xf>
    <xf numFmtId="0" fontId="0" fillId="0" borderId="4" xfId="0" applyBorder="1" applyAlignment="1" applyProtection="1">
      <alignment vertical="top"/>
      <protection locked="0"/>
    </xf>
    <xf numFmtId="0" fontId="0" fillId="0" borderId="4" xfId="0" applyBorder="1" applyAlignment="1">
      <alignment vertical="top"/>
    </xf>
    <xf numFmtId="0" fontId="3" fillId="0" borderId="4" xfId="0" applyFont="1" applyBorder="1" applyAlignment="1" applyProtection="1">
      <alignment wrapText="1"/>
      <protection locked="0"/>
    </xf>
    <xf numFmtId="0" fontId="0" fillId="0" borderId="4" xfId="0" applyBorder="1" applyAlignment="1" applyProtection="1">
      <alignment horizontal="center" vertical="top"/>
      <protection locked="0"/>
    </xf>
    <xf numFmtId="0" fontId="3" fillId="0" borderId="33" xfId="0" applyFont="1" applyBorder="1" applyAlignment="1">
      <alignment vertical="top"/>
    </xf>
    <xf numFmtId="0" fontId="4" fillId="0" borderId="4" xfId="0" applyFont="1" applyBorder="1" applyAlignment="1">
      <alignment vertical="top"/>
    </xf>
    <xf numFmtId="166" fontId="3" fillId="0" borderId="33" xfId="0" quotePrefix="1" applyNumberFormat="1" applyFont="1" applyBorder="1" applyAlignment="1">
      <alignment horizontal="center" vertical="top"/>
    </xf>
    <xf numFmtId="14" fontId="0" fillId="0" borderId="0" xfId="0" applyNumberFormat="1"/>
    <xf numFmtId="166" fontId="0" fillId="0" borderId="0" xfId="0" quotePrefix="1" applyNumberFormat="1" applyAlignment="1">
      <alignment horizontal="center"/>
    </xf>
    <xf numFmtId="0" fontId="0" fillId="0" borderId="4" xfId="0" applyBorder="1"/>
    <xf numFmtId="0" fontId="3" fillId="0" borderId="4" xfId="0" applyFont="1" applyBorder="1" applyAlignment="1">
      <alignment wrapText="1"/>
    </xf>
    <xf numFmtId="0" fontId="3" fillId="0" borderId="0" xfId="0" applyFont="1" applyAlignment="1" applyProtection="1">
      <alignment horizontal="left" vertical="top" wrapText="1"/>
      <protection locked="0"/>
    </xf>
    <xf numFmtId="0" fontId="17" fillId="2" borderId="11" xfId="0" applyFont="1" applyFill="1" applyBorder="1"/>
    <xf numFmtId="1" fontId="0" fillId="0" borderId="0" xfId="0" applyNumberFormat="1" applyAlignment="1">
      <alignment horizontal="right"/>
    </xf>
    <xf numFmtId="2" fontId="0" fillId="0" borderId="0" xfId="0" applyNumberFormat="1"/>
    <xf numFmtId="1" fontId="0" fillId="0" borderId="0" xfId="0" applyNumberFormat="1"/>
    <xf numFmtId="0" fontId="0" fillId="0" borderId="6" xfId="0" applyBorder="1" applyAlignment="1">
      <alignment horizontal="center"/>
    </xf>
    <xf numFmtId="0" fontId="0" fillId="0" borderId="32" xfId="0" applyBorder="1" applyAlignment="1">
      <alignment horizontal="center"/>
    </xf>
    <xf numFmtId="0" fontId="4" fillId="0" borderId="1" xfId="0" applyFont="1" applyBorder="1"/>
    <xf numFmtId="14" fontId="0" fillId="0" borderId="33" xfId="0" applyNumberFormat="1" applyBorder="1"/>
    <xf numFmtId="0" fontId="0" fillId="0" borderId="33" xfId="0" applyBorder="1" applyAlignment="1">
      <alignment horizontal="center"/>
    </xf>
    <xf numFmtId="166" fontId="0" fillId="0" borderId="6" xfId="0" applyNumberFormat="1" applyBorder="1" applyAlignment="1">
      <alignment horizontal="center"/>
    </xf>
    <xf numFmtId="2" fontId="0" fillId="0" borderId="6" xfId="0" applyNumberFormat="1" applyBorder="1" applyAlignment="1">
      <alignment horizontal="center"/>
    </xf>
    <xf numFmtId="166" fontId="0" fillId="6" borderId="35" xfId="0" applyNumberFormat="1" applyFill="1" applyBorder="1" applyAlignment="1" applyProtection="1">
      <alignment horizontal="center"/>
      <protection locked="0"/>
    </xf>
    <xf numFmtId="166" fontId="0" fillId="6" borderId="6" xfId="0" applyNumberFormat="1" applyFill="1" applyBorder="1" applyAlignment="1" applyProtection="1">
      <alignment horizontal="center"/>
      <protection locked="0"/>
    </xf>
    <xf numFmtId="0" fontId="3" fillId="6" borderId="2" xfId="0" applyFont="1" applyFill="1" applyBorder="1" applyAlignment="1" applyProtection="1">
      <alignment horizontal="left" vertical="top" wrapText="1"/>
      <protection locked="0"/>
    </xf>
    <xf numFmtId="0" fontId="3" fillId="6" borderId="0" xfId="0" applyFont="1" applyFill="1" applyAlignment="1" applyProtection="1">
      <alignment horizontal="left" vertical="top" wrapText="1"/>
      <protection locked="0"/>
    </xf>
    <xf numFmtId="0" fontId="3" fillId="6" borderId="3" xfId="0" applyFont="1" applyFill="1" applyBorder="1" applyAlignment="1" applyProtection="1">
      <alignment horizontal="left" vertical="top" wrapText="1"/>
      <protection locked="0"/>
    </xf>
    <xf numFmtId="0" fontId="3" fillId="6" borderId="7" xfId="0" applyFont="1" applyFill="1" applyBorder="1" applyAlignment="1" applyProtection="1">
      <alignment horizontal="left" vertical="top" wrapText="1"/>
      <protection locked="0"/>
    </xf>
    <xf numFmtId="0" fontId="3" fillId="6" borderId="12" xfId="0" applyFont="1" applyFill="1" applyBorder="1" applyAlignment="1" applyProtection="1">
      <alignment horizontal="left" vertical="top" wrapText="1"/>
      <protection locked="0"/>
    </xf>
    <xf numFmtId="0" fontId="3" fillId="6" borderId="8" xfId="0" applyFont="1" applyFill="1" applyBorder="1" applyAlignment="1" applyProtection="1">
      <alignment horizontal="left" vertical="top" wrapText="1"/>
      <protection locked="0"/>
    </xf>
    <xf numFmtId="0" fontId="13" fillId="0" borderId="0" xfId="3" applyFont="1" applyBorder="1" applyAlignment="1" applyProtection="1">
      <alignment horizontal="center"/>
    </xf>
    <xf numFmtId="0" fontId="14" fillId="0" borderId="0" xfId="3" applyFont="1" applyBorder="1" applyAlignment="1" applyProtection="1">
      <alignment horizontal="center"/>
    </xf>
    <xf numFmtId="168" fontId="5" fillId="0" borderId="0" xfId="0" applyNumberFormat="1" applyFont="1" applyAlignment="1">
      <alignment horizontal="right" vertical="top"/>
    </xf>
    <xf numFmtId="168" fontId="5" fillId="0" borderId="16" xfId="0" applyNumberFormat="1" applyFont="1" applyBorder="1" applyAlignment="1">
      <alignment horizontal="right" vertical="top"/>
    </xf>
    <xf numFmtId="0" fontId="3" fillId="0" borderId="0" xfId="0" quotePrefix="1" applyFont="1" applyAlignment="1">
      <alignment horizontal="left" wrapText="1"/>
    </xf>
    <xf numFmtId="14" fontId="7" fillId="6" borderId="4" xfId="0" applyNumberFormat="1" applyFont="1" applyFill="1" applyBorder="1" applyAlignment="1" applyProtection="1">
      <alignment horizontal="left"/>
      <protection locked="0"/>
    </xf>
    <xf numFmtId="0" fontId="2" fillId="0" borderId="4" xfId="0" applyFont="1" applyBorder="1" applyAlignment="1">
      <alignment horizontal="left"/>
    </xf>
    <xf numFmtId="0" fontId="7" fillId="6" borderId="4" xfId="0" applyFont="1" applyFill="1" applyBorder="1" applyAlignment="1" applyProtection="1">
      <alignment horizontal="left"/>
      <protection locked="0"/>
    </xf>
    <xf numFmtId="171" fontId="5" fillId="0" borderId="2" xfId="0" applyNumberFormat="1" applyFont="1" applyBorder="1" applyAlignment="1">
      <alignment horizontal="left"/>
    </xf>
    <xf numFmtId="171" fontId="5" fillId="0" borderId="0" xfId="0" applyNumberFormat="1" applyFont="1" applyAlignment="1">
      <alignment horizontal="left"/>
    </xf>
    <xf numFmtId="0" fontId="5" fillId="0" borderId="2" xfId="0" applyFont="1" applyBorder="1" applyAlignment="1">
      <alignment horizontal="left" vertical="center" wrapText="1"/>
    </xf>
    <xf numFmtId="0" fontId="5" fillId="0" borderId="0" xfId="0" applyFont="1" applyAlignment="1">
      <alignment horizontal="left" vertical="center" wrapText="1"/>
    </xf>
    <xf numFmtId="0" fontId="4" fillId="0" borderId="7" xfId="0" applyFont="1" applyBorder="1" applyAlignment="1">
      <alignment horizontal="left"/>
    </xf>
    <xf numFmtId="0" fontId="4" fillId="0" borderId="12" xfId="0" applyFont="1" applyBorder="1" applyAlignment="1">
      <alignment horizontal="left"/>
    </xf>
    <xf numFmtId="0" fontId="4" fillId="0" borderId="8" xfId="0" applyFont="1" applyBorder="1" applyAlignment="1">
      <alignment horizontal="left"/>
    </xf>
    <xf numFmtId="0" fontId="3" fillId="3" borderId="2" xfId="0" applyFont="1" applyFill="1" applyBorder="1" applyAlignment="1" applyProtection="1">
      <alignment horizontal="left" vertical="top" wrapText="1"/>
      <protection locked="0"/>
    </xf>
    <xf numFmtId="0" fontId="3" fillId="3" borderId="0" xfId="0" applyFont="1" applyFill="1" applyAlignment="1" applyProtection="1">
      <alignment horizontal="left" vertical="top" wrapText="1"/>
      <protection locked="0"/>
    </xf>
    <xf numFmtId="0" fontId="3" fillId="3" borderId="3" xfId="0" applyFont="1" applyFill="1" applyBorder="1" applyAlignment="1" applyProtection="1">
      <alignment horizontal="left" vertical="top" wrapText="1"/>
      <protection locked="0"/>
    </xf>
    <xf numFmtId="0" fontId="3" fillId="3" borderId="7" xfId="0" applyFont="1" applyFill="1" applyBorder="1" applyAlignment="1" applyProtection="1">
      <alignment horizontal="left" vertical="top" wrapText="1"/>
      <protection locked="0"/>
    </xf>
    <xf numFmtId="0" fontId="3" fillId="3" borderId="12" xfId="0" applyFont="1" applyFill="1" applyBorder="1" applyAlignment="1" applyProtection="1">
      <alignment horizontal="left" vertical="top" wrapText="1"/>
      <protection locked="0"/>
    </xf>
    <xf numFmtId="0" fontId="3" fillId="3" borderId="8" xfId="0" applyFont="1" applyFill="1" applyBorder="1" applyAlignment="1" applyProtection="1">
      <alignment horizontal="left" vertical="top" wrapText="1"/>
      <protection locked="0"/>
    </xf>
    <xf numFmtId="0" fontId="7" fillId="3" borderId="4" xfId="0" applyFont="1" applyFill="1" applyBorder="1" applyAlignment="1" applyProtection="1">
      <alignment horizontal="left"/>
      <protection locked="0"/>
    </xf>
    <xf numFmtId="14" fontId="7" fillId="3" borderId="4" xfId="0" applyNumberFormat="1" applyFont="1" applyFill="1" applyBorder="1" applyAlignment="1" applyProtection="1">
      <alignment horizontal="left"/>
      <protection locked="0"/>
    </xf>
    <xf numFmtId="0" fontId="4" fillId="0" borderId="0" xfId="0" applyFont="1" applyAlignment="1">
      <alignment horizontal="center" wrapText="1"/>
    </xf>
    <xf numFmtId="0" fontId="13" fillId="0" borderId="0" xfId="3" applyFont="1" applyFill="1" applyBorder="1" applyAlignment="1" applyProtection="1">
      <alignment horizontal="center"/>
      <protection locked="0"/>
    </xf>
    <xf numFmtId="0" fontId="14" fillId="0" borderId="0" xfId="3" applyFont="1" applyFill="1" applyBorder="1" applyAlignment="1" applyProtection="1">
      <alignment horizontal="center"/>
      <protection locked="0"/>
    </xf>
    <xf numFmtId="0" fontId="3" fillId="0" borderId="0" xfId="0" applyFont="1" applyAlignment="1">
      <alignment horizontal="left" wrapText="1"/>
    </xf>
    <xf numFmtId="0" fontId="3" fillId="0" borderId="0" xfId="0" applyFont="1" applyAlignment="1">
      <alignment wrapText="1"/>
    </xf>
  </cellXfs>
  <cellStyles count="4">
    <cellStyle name="Hyperlink" xfId="3" builtinId="8"/>
    <cellStyle name="Normal" xfId="0" builtinId="0"/>
    <cellStyle name="Normal 2" xfId="1" xr:uid="{00000000-0005-0000-0000-000002000000}"/>
    <cellStyle name="Normal 3" xfId="2" xr:uid="{00000000-0005-0000-0000-000003000000}"/>
  </cellStyles>
  <dxfs count="27">
    <dxf>
      <font>
        <strike/>
        <color rgb="FFFF0000"/>
      </font>
      <fill>
        <patternFill>
          <bgColor rgb="FFFFFF00"/>
        </patternFill>
      </fill>
    </dxf>
    <dxf>
      <font>
        <strike/>
        <color rgb="FFFF0000"/>
      </font>
      <fill>
        <patternFill>
          <bgColor rgb="FFFFFF00"/>
        </patternFill>
      </fill>
    </dxf>
    <dxf>
      <font>
        <strike/>
        <color rgb="FFFF0000"/>
      </font>
      <fill>
        <patternFill>
          <bgColor rgb="FFFFFF00"/>
        </patternFill>
      </fill>
    </dxf>
    <dxf>
      <fill>
        <patternFill>
          <bgColor rgb="FFFFFF00"/>
        </patternFill>
      </fill>
    </dxf>
    <dxf>
      <font>
        <strike val="0"/>
      </font>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strike val="0"/>
        <color auto="1"/>
      </font>
      <fill>
        <patternFill>
          <bgColor rgb="FFFFC000"/>
        </patternFill>
      </fill>
    </dxf>
    <dxf>
      <font>
        <strike/>
        <color rgb="FFFF0000"/>
      </font>
      <fill>
        <patternFill>
          <bgColor rgb="FFFFFF00"/>
        </patternFill>
      </fill>
    </dxf>
    <dxf>
      <font>
        <strike val="0"/>
        <color auto="1"/>
      </font>
      <fill>
        <patternFill>
          <bgColor rgb="FFFFC000"/>
        </patternFill>
      </fill>
    </dxf>
    <dxf>
      <fill>
        <patternFill>
          <bgColor rgb="FFFFFF00"/>
        </patternFill>
      </fill>
    </dxf>
    <dxf>
      <font>
        <strike val="0"/>
      </font>
      <fill>
        <patternFill>
          <bgColor rgb="FFFFC000"/>
        </patternFill>
      </fill>
    </dxf>
    <dxf>
      <fill>
        <patternFill>
          <bgColor theme="0" tint="-0.24994659260841701"/>
        </patternFill>
      </fill>
    </dxf>
    <dxf>
      <font>
        <strike val="0"/>
      </font>
      <fill>
        <patternFill>
          <bgColor rgb="FFFF0000"/>
        </patternFill>
      </fill>
    </dxf>
    <dxf>
      <fill>
        <patternFill>
          <bgColor rgb="FFC6EFCE"/>
        </patternFill>
      </fill>
    </dxf>
    <dxf>
      <font>
        <strike val="0"/>
      </font>
      <fill>
        <patternFill>
          <bgColor theme="0" tint="-0.24994659260841701"/>
        </patternFill>
      </fill>
    </dxf>
    <dxf>
      <font>
        <strike val="0"/>
      </font>
      <fill>
        <patternFill>
          <bgColor rgb="FFFF0000"/>
        </patternFill>
      </fill>
    </dxf>
    <dxf>
      <fill>
        <patternFill>
          <bgColor rgb="FFC6EFCE"/>
        </patternFill>
      </fill>
    </dxf>
    <dxf>
      <fill>
        <patternFill>
          <bgColor rgb="FFFF0000"/>
        </patternFill>
      </fill>
    </dxf>
    <dxf>
      <fill>
        <patternFill>
          <fgColor auto="1"/>
          <bgColor rgb="FFC6EFCE"/>
        </patternFill>
      </fill>
    </dxf>
    <dxf>
      <fill>
        <patternFill>
          <bgColor theme="0" tint="-0.24994659260841701"/>
        </patternFill>
      </fill>
    </dxf>
  </dxfs>
  <tableStyles count="0" defaultTableStyle="TableStyleMedium9" defaultPivotStyle="PivotStyleLight16"/>
  <colors>
    <mruColors>
      <color rgb="FFC6EFCE"/>
      <color rgb="FF66FF66"/>
      <color rgb="FF00CC00"/>
      <color rgb="FF33CC33"/>
      <color rgb="FF00FF00"/>
      <color rgb="FFFFFF99"/>
      <color rgb="FFE9EFF7"/>
      <color rgb="FFC85740"/>
      <color rgb="FFF5AB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Drop" dropLines="3" dropStyle="combo" dx="22" fmlaLink="$V$6" fmlaRange="$W$7:$W$9" noThreeD="1" sel="1" val="0"/>
</file>

<file path=xl/ctrlProps/ctrlProp2.xml><?xml version="1.0" encoding="utf-8"?>
<formControlPr xmlns="http://schemas.microsoft.com/office/spreadsheetml/2009/9/main" objectType="Drop" dropLines="9" dropStyle="combo" dx="22" fmlaLink="$X$14" fmlaRange="$V$19:$V$27" noThreeD="1" sel="2" val="0"/>
</file>

<file path=xl/ctrlProps/ctrlProp3.xml><?xml version="1.0" encoding="utf-8"?>
<formControlPr xmlns="http://schemas.microsoft.com/office/spreadsheetml/2009/9/main" objectType="Drop" dropLines="3" dropStyle="combo" dx="22" fmlaLink="$Z$35" fmlaRange="$AA$35:$AA$37" noThreeD="1" sel="2" val="0"/>
</file>

<file path=xl/ctrlProps/ctrlProp4.xml><?xml version="1.0" encoding="utf-8"?>
<formControlPr xmlns="http://schemas.microsoft.com/office/spreadsheetml/2009/9/main" objectType="Drop" dropLines="3" dropStyle="combo" dx="22" fmlaLink="$Z$35" fmlaRange="$AA$35:$AA$37" noThreeD="1" sel="2" val="0"/>
</file>

<file path=xl/ctrlProps/ctrlProp5.xml><?xml version="1.0" encoding="utf-8"?>
<formControlPr xmlns="http://schemas.microsoft.com/office/spreadsheetml/2009/9/main" objectType="Drop" dropLines="3" dropStyle="combo" dx="22" fmlaLink="$V$6" fmlaRange="$W$7:$W$9" noThreeD="1" sel="1" val="0"/>
</file>

<file path=xl/ctrlProps/ctrlProp6.xml><?xml version="1.0" encoding="utf-8"?>
<formControlPr xmlns="http://schemas.microsoft.com/office/spreadsheetml/2009/9/main" objectType="Drop" dropLines="9" dropStyle="combo" dx="22" fmlaLink="$X$14" fmlaRange="$V$19:$V$27" noThreeD="1" sel="3" val="0"/>
</file>

<file path=xl/ctrlProps/ctrlProp7.xml><?xml version="1.0" encoding="utf-8"?>
<formControlPr xmlns="http://schemas.microsoft.com/office/spreadsheetml/2009/9/main" objectType="Drop" dropLines="3" dropStyle="combo" dx="22" fmlaLink="$Z$35" fmlaRange="$AA$35:$AA$37"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190499</xdr:colOff>
      <xdr:row>0</xdr:row>
      <xdr:rowOff>1</xdr:rowOff>
    </xdr:from>
    <xdr:to>
      <xdr:col>10</xdr:col>
      <xdr:colOff>600075</xdr:colOff>
      <xdr:row>0</xdr:row>
      <xdr:rowOff>495301</xdr:rowOff>
    </xdr:to>
    <xdr:sp macro="" textlink="">
      <xdr:nvSpPr>
        <xdr:cNvPr id="6" name="WordArt 1">
          <a:extLst>
            <a:ext uri="{FF2B5EF4-FFF2-40B4-BE49-F238E27FC236}">
              <a16:creationId xmlns:a16="http://schemas.microsoft.com/office/drawing/2014/main" id="{00000000-0008-0000-0000-000006000000}"/>
            </a:ext>
          </a:extLst>
        </xdr:cNvPr>
        <xdr:cNvSpPr>
          <a:spLocks noChangeArrowheads="1" noChangeShapeType="1" noTextEdit="1"/>
        </xdr:cNvSpPr>
      </xdr:nvSpPr>
      <xdr:spPr bwMode="auto">
        <a:xfrm>
          <a:off x="190499" y="1"/>
          <a:ext cx="8591551" cy="495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92"/>
            </a:avLst>
          </a:prstTxWarp>
        </a:bodyPr>
        <a:lstStyle/>
        <a:p>
          <a:pPr algn="ctr" rtl="0">
            <a:buNone/>
          </a:pPr>
          <a:r>
            <a:rPr lang="en-US" sz="1400" kern="10" spc="0">
              <a:ln w="9525">
                <a:solidFill>
                  <a:srgbClr val="000000"/>
                </a:solidFill>
                <a:round/>
                <a:headEnd/>
                <a:tailEnd/>
              </a:ln>
              <a:solidFill>
                <a:srgbClr val="C85740"/>
              </a:solidFill>
              <a:effectLst/>
              <a:latin typeface="Arial Black"/>
            </a:rPr>
            <a:t>DENITRIFYING BIOREACTOR</a:t>
          </a:r>
          <a:r>
            <a:rPr lang="en-US" sz="1400" kern="10" spc="0" baseline="0">
              <a:ln w="9525">
                <a:solidFill>
                  <a:srgbClr val="000000"/>
                </a:solidFill>
                <a:round/>
                <a:headEnd/>
                <a:tailEnd/>
              </a:ln>
              <a:solidFill>
                <a:srgbClr val="C85740"/>
              </a:solidFill>
              <a:effectLst/>
              <a:latin typeface="Arial Black"/>
            </a:rPr>
            <a:t> </a:t>
          </a:r>
          <a:r>
            <a:rPr lang="en-US" sz="1400" kern="10" spc="0">
              <a:ln w="9525">
                <a:solidFill>
                  <a:srgbClr val="000000"/>
                </a:solidFill>
                <a:round/>
                <a:headEnd/>
                <a:tailEnd/>
              </a:ln>
              <a:solidFill>
                <a:srgbClr val="C85740"/>
              </a:solidFill>
              <a:effectLst/>
              <a:latin typeface="Arial Black"/>
            </a:rPr>
            <a:t>DESIGN</a:t>
          </a:r>
        </a:p>
      </xdr:txBody>
    </xdr:sp>
    <xdr:clientData/>
  </xdr:twoCellAnchor>
  <mc:AlternateContent xmlns:mc="http://schemas.openxmlformats.org/markup-compatibility/2006">
    <mc:Choice xmlns:a14="http://schemas.microsoft.com/office/drawing/2010/main" Requires="a14">
      <xdr:twoCellAnchor editAs="oneCell">
        <xdr:from>
          <xdr:col>2</xdr:col>
          <xdr:colOff>1771650</xdr:colOff>
          <xdr:row>10</xdr:row>
          <xdr:rowOff>38100</xdr:rowOff>
        </xdr:from>
        <xdr:to>
          <xdr:col>3</xdr:col>
          <xdr:colOff>628650</xdr:colOff>
          <xdr:row>10</xdr:row>
          <xdr:rowOff>276225</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2076450</xdr:colOff>
          <xdr:row>8</xdr:row>
          <xdr:rowOff>19049</xdr:rowOff>
        </xdr:from>
        <xdr:to>
          <xdr:col>3</xdr:col>
          <xdr:colOff>628650</xdr:colOff>
          <xdr:row>8</xdr:row>
          <xdr:rowOff>238124</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75715</xdr:colOff>
      <xdr:row>18</xdr:row>
      <xdr:rowOff>28575</xdr:rowOff>
    </xdr:from>
    <xdr:to>
      <xdr:col>11</xdr:col>
      <xdr:colOff>882176</xdr:colOff>
      <xdr:row>33</xdr:row>
      <xdr:rowOff>76200</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6266965" y="4581525"/>
          <a:ext cx="3749686" cy="2847975"/>
          <a:chOff x="6124090" y="4171950"/>
          <a:chExt cx="3521086" cy="2714625"/>
        </a:xfrm>
      </xdr:grpSpPr>
      <xdr:grpSp>
        <xdr:nvGrpSpPr>
          <xdr:cNvPr id="30" name="Group 3">
            <a:extLst>
              <a:ext uri="{FF2B5EF4-FFF2-40B4-BE49-F238E27FC236}">
                <a16:creationId xmlns:a16="http://schemas.microsoft.com/office/drawing/2014/main" id="{00000000-0008-0000-0000-00001E000000}"/>
              </a:ext>
            </a:extLst>
          </xdr:cNvPr>
          <xdr:cNvGrpSpPr>
            <a:grpSpLocks/>
          </xdr:cNvGrpSpPr>
        </xdr:nvGrpSpPr>
        <xdr:grpSpPr bwMode="auto">
          <a:xfrm>
            <a:off x="6124090" y="4171950"/>
            <a:ext cx="3521086" cy="2714625"/>
            <a:chOff x="4933950" y="714375"/>
            <a:chExt cx="5334000" cy="3097202"/>
          </a:xfrm>
        </xdr:grpSpPr>
        <xdr:pic>
          <xdr:nvPicPr>
            <xdr:cNvPr id="42" name="Picture 2">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33950" y="714375"/>
              <a:ext cx="5334000" cy="30972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3" name="Picture 4">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62817" t="69797" r="16995" b="18890"/>
            <a:stretch>
              <a:fillRect/>
            </a:stretch>
          </xdr:blipFill>
          <xdr:spPr bwMode="auto">
            <a:xfrm>
              <a:off x="6048374" y="2562225"/>
              <a:ext cx="22193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xnSp macro="">
        <xdr:nvCxnSpPr>
          <xdr:cNvPr id="31" name="Straight Connector 30">
            <a:extLst>
              <a:ext uri="{FF2B5EF4-FFF2-40B4-BE49-F238E27FC236}">
                <a16:creationId xmlns:a16="http://schemas.microsoft.com/office/drawing/2014/main" id="{00000000-0008-0000-0000-00001F000000}"/>
              </a:ext>
            </a:extLst>
          </xdr:cNvPr>
          <xdr:cNvCxnSpPr/>
        </xdr:nvCxnSpPr>
        <xdr:spPr>
          <a:xfrm flipH="1" flipV="1">
            <a:off x="6671115" y="4429125"/>
            <a:ext cx="6288" cy="892969"/>
          </a:xfrm>
          <a:prstGeom prst="line">
            <a:avLst/>
          </a:prstGeom>
          <a:ln w="12700"/>
        </xdr:spPr>
        <xdr:style>
          <a:lnRef idx="1">
            <a:schemeClr val="dk1"/>
          </a:lnRef>
          <a:fillRef idx="0">
            <a:schemeClr val="dk1"/>
          </a:fillRef>
          <a:effectRef idx="0">
            <a:schemeClr val="dk1"/>
          </a:effectRef>
          <a:fontRef idx="minor">
            <a:schemeClr val="tx1"/>
          </a:fontRef>
        </xdr:style>
      </xdr:cxnSp>
      <xdr:cxnSp macro="">
        <xdr:nvCxnSpPr>
          <xdr:cNvPr id="32" name="Straight Connector 31">
            <a:extLst>
              <a:ext uri="{FF2B5EF4-FFF2-40B4-BE49-F238E27FC236}">
                <a16:creationId xmlns:a16="http://schemas.microsoft.com/office/drawing/2014/main" id="{00000000-0008-0000-0000-000020000000}"/>
              </a:ext>
            </a:extLst>
          </xdr:cNvPr>
          <xdr:cNvCxnSpPr/>
        </xdr:nvCxnSpPr>
        <xdr:spPr>
          <a:xfrm flipH="1" flipV="1">
            <a:off x="9047848" y="4457700"/>
            <a:ext cx="6288" cy="892969"/>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33" name="Straight Arrow Connector 32">
            <a:extLst>
              <a:ext uri="{FF2B5EF4-FFF2-40B4-BE49-F238E27FC236}">
                <a16:creationId xmlns:a16="http://schemas.microsoft.com/office/drawing/2014/main" id="{00000000-0008-0000-0000-000021000000}"/>
              </a:ext>
            </a:extLst>
          </xdr:cNvPr>
          <xdr:cNvCxnSpPr/>
        </xdr:nvCxnSpPr>
        <xdr:spPr>
          <a:xfrm>
            <a:off x="6671115" y="4507707"/>
            <a:ext cx="2383021" cy="7144"/>
          </a:xfrm>
          <a:prstGeom prst="straightConnector1">
            <a:avLst/>
          </a:prstGeom>
          <a:ln w="12700">
            <a:headEnd type="arrow"/>
            <a:tailEnd type="arrow"/>
          </a:ln>
        </xdr:spPr>
        <xdr:style>
          <a:lnRef idx="1">
            <a:schemeClr val="dk1"/>
          </a:lnRef>
          <a:fillRef idx="0">
            <a:schemeClr val="dk1"/>
          </a:fillRef>
          <a:effectRef idx="0">
            <a:schemeClr val="dk1"/>
          </a:effectRef>
          <a:fontRef idx="minor">
            <a:schemeClr val="tx1"/>
          </a:fontRef>
        </xdr:style>
      </xdr:cxnSp>
      <xdr:sp macro="" textlink="">
        <xdr:nvSpPr>
          <xdr:cNvPr id="34" name="TextBox 33">
            <a:extLst>
              <a:ext uri="{FF2B5EF4-FFF2-40B4-BE49-F238E27FC236}">
                <a16:creationId xmlns:a16="http://schemas.microsoft.com/office/drawing/2014/main" id="{00000000-0008-0000-0000-000022000000}"/>
              </a:ext>
            </a:extLst>
          </xdr:cNvPr>
          <xdr:cNvSpPr txBox="1"/>
        </xdr:nvSpPr>
        <xdr:spPr>
          <a:xfrm>
            <a:off x="7168030" y="4300538"/>
            <a:ext cx="1450899" cy="28211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US" sz="1100"/>
              <a:t>Flow length L</a:t>
            </a:r>
          </a:p>
        </xdr:txBody>
      </xdr:sp>
    </xdr:grpSp>
    <xdr:clientData/>
  </xdr:twoCellAnchor>
  <xdr:twoCellAnchor>
    <xdr:from>
      <xdr:col>7</xdr:col>
      <xdr:colOff>716280</xdr:colOff>
      <xdr:row>31</xdr:row>
      <xdr:rowOff>66676</xdr:rowOff>
    </xdr:from>
    <xdr:to>
      <xdr:col>7</xdr:col>
      <xdr:colOff>723900</xdr:colOff>
      <xdr:row>34</xdr:row>
      <xdr:rowOff>7620</xdr:rowOff>
    </xdr:to>
    <xdr:cxnSp macro="">
      <xdr:nvCxnSpPr>
        <xdr:cNvPr id="39" name="Straight Connector 38">
          <a:extLst>
            <a:ext uri="{FF2B5EF4-FFF2-40B4-BE49-F238E27FC236}">
              <a16:creationId xmlns:a16="http://schemas.microsoft.com/office/drawing/2014/main" id="{00000000-0008-0000-0000-000027000000}"/>
            </a:ext>
          </a:extLst>
        </xdr:cNvPr>
        <xdr:cNvCxnSpPr/>
      </xdr:nvCxnSpPr>
      <xdr:spPr>
        <a:xfrm flipV="1">
          <a:off x="7086600" y="7038976"/>
          <a:ext cx="7620" cy="504824"/>
        </a:xfrm>
        <a:prstGeom prst="line">
          <a:avLst/>
        </a:prstGeom>
        <a:ln w="19050">
          <a:solidFill>
            <a:sysClr val="windowText" lastClr="000000"/>
          </a:solidFill>
          <a:tailEnd type="arrow"/>
        </a:ln>
      </xdr:spPr>
      <xdr:style>
        <a:lnRef idx="1">
          <a:schemeClr val="accent2"/>
        </a:lnRef>
        <a:fillRef idx="0">
          <a:schemeClr val="accent2"/>
        </a:fillRef>
        <a:effectRef idx="0">
          <a:schemeClr val="accent2"/>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1828800</xdr:colOff>
          <xdr:row>17</xdr:row>
          <xdr:rowOff>28575</xdr:rowOff>
        </xdr:from>
        <xdr:to>
          <xdr:col>3</xdr:col>
          <xdr:colOff>704850</xdr:colOff>
          <xdr:row>18</xdr:row>
          <xdr:rowOff>28575</xdr:rowOff>
        </xdr:to>
        <xdr:sp macro="" textlink="">
          <xdr:nvSpPr>
            <xdr:cNvPr id="1043" name="Drop Down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11</xdr:col>
      <xdr:colOff>238125</xdr:colOff>
      <xdr:row>31</xdr:row>
      <xdr:rowOff>66675</xdr:rowOff>
    </xdr:from>
    <xdr:to>
      <xdr:col>11</xdr:col>
      <xdr:colOff>243840</xdr:colOff>
      <xdr:row>34</xdr:row>
      <xdr:rowOff>7620</xdr:rowOff>
    </xdr:to>
    <xdr:cxnSp macro="">
      <xdr:nvCxnSpPr>
        <xdr:cNvPr id="44" name="Straight Connector 43">
          <a:extLst>
            <a:ext uri="{FF2B5EF4-FFF2-40B4-BE49-F238E27FC236}">
              <a16:creationId xmlns:a16="http://schemas.microsoft.com/office/drawing/2014/main" id="{00000000-0008-0000-0000-00002C000000}"/>
            </a:ext>
          </a:extLst>
        </xdr:cNvPr>
        <xdr:cNvCxnSpPr/>
      </xdr:nvCxnSpPr>
      <xdr:spPr>
        <a:xfrm flipH="1" flipV="1">
          <a:off x="9633585" y="7038975"/>
          <a:ext cx="5715" cy="451485"/>
        </a:xfrm>
        <a:prstGeom prst="line">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oneCellAnchor>
        <xdr:from>
          <xdr:col>2</xdr:col>
          <xdr:colOff>1828800</xdr:colOff>
          <xdr:row>17</xdr:row>
          <xdr:rowOff>28575</xdr:rowOff>
        </xdr:from>
        <xdr:ext cx="1131570" cy="243840"/>
        <xdr:sp macro="" textlink="">
          <xdr:nvSpPr>
            <xdr:cNvPr id="1088" name="Drop Down 64" hidden="1">
              <a:extLst>
                <a:ext uri="{63B3BB69-23CF-44E3-9099-C40C66FF867C}">
                  <a14:compatExt spid="_x0000_s1088"/>
                </a:ext>
                <a:ext uri="{FF2B5EF4-FFF2-40B4-BE49-F238E27FC236}">
                  <a16:creationId xmlns:a16="http://schemas.microsoft.com/office/drawing/2014/main" id="{0784F139-511E-4DD4-84D0-C82C40E51E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oneCellAnchor>
    </mc:Choice>
    <mc:Fallback/>
  </mc:AlternateContent>
  <xdr:twoCellAnchor>
    <xdr:from>
      <xdr:col>6</xdr:col>
      <xdr:colOff>838200</xdr:colOff>
      <xdr:row>32</xdr:row>
      <xdr:rowOff>53340</xdr:rowOff>
    </xdr:from>
    <xdr:to>
      <xdr:col>7</xdr:col>
      <xdr:colOff>251460</xdr:colOff>
      <xdr:row>32</xdr:row>
      <xdr:rowOff>60960</xdr:rowOff>
    </xdr:to>
    <xdr:cxnSp macro="">
      <xdr:nvCxnSpPr>
        <xdr:cNvPr id="20" name="Straight Connector 19">
          <a:extLst>
            <a:ext uri="{FF2B5EF4-FFF2-40B4-BE49-F238E27FC236}">
              <a16:creationId xmlns:a16="http://schemas.microsoft.com/office/drawing/2014/main" id="{3365E5B8-25DA-4516-8EB6-2E4F02ED2987}"/>
            </a:ext>
          </a:extLst>
        </xdr:cNvPr>
        <xdr:cNvCxnSpPr/>
      </xdr:nvCxnSpPr>
      <xdr:spPr>
        <a:xfrm>
          <a:off x="6355080" y="7216140"/>
          <a:ext cx="266700" cy="7620"/>
        </a:xfrm>
        <a:prstGeom prst="line">
          <a:avLst/>
        </a:prstGeom>
        <a:ln w="19050">
          <a:solidFill>
            <a:sysClr val="windowText" lastClr="000000"/>
          </a:solidFill>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11</xdr:col>
      <xdr:colOff>731520</xdr:colOff>
      <xdr:row>32</xdr:row>
      <xdr:rowOff>60960</xdr:rowOff>
    </xdr:from>
    <xdr:to>
      <xdr:col>12</xdr:col>
      <xdr:colOff>22860</xdr:colOff>
      <xdr:row>32</xdr:row>
      <xdr:rowOff>76200</xdr:rowOff>
    </xdr:to>
    <xdr:cxnSp macro="">
      <xdr:nvCxnSpPr>
        <xdr:cNvPr id="23" name="Straight Connector 22">
          <a:extLst>
            <a:ext uri="{FF2B5EF4-FFF2-40B4-BE49-F238E27FC236}">
              <a16:creationId xmlns:a16="http://schemas.microsoft.com/office/drawing/2014/main" id="{0BFB75DF-9068-403C-B0B8-8B8AD5B889AF}"/>
            </a:ext>
          </a:extLst>
        </xdr:cNvPr>
        <xdr:cNvCxnSpPr/>
      </xdr:nvCxnSpPr>
      <xdr:spPr>
        <a:xfrm flipH="1" flipV="1">
          <a:off x="10126980" y="7223760"/>
          <a:ext cx="251460" cy="15240"/>
        </a:xfrm>
        <a:prstGeom prst="line">
          <a:avLst/>
        </a:prstGeom>
        <a:ln w="19050">
          <a:solidFill>
            <a:sysClr val="windowText" lastClr="000000"/>
          </a:solidFill>
          <a:tailEnd type="arrow"/>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190499</xdr:colOff>
      <xdr:row>0</xdr:row>
      <xdr:rowOff>1</xdr:rowOff>
    </xdr:from>
    <xdr:to>
      <xdr:col>10</xdr:col>
      <xdr:colOff>600075</xdr:colOff>
      <xdr:row>0</xdr:row>
      <xdr:rowOff>495301</xdr:rowOff>
    </xdr:to>
    <xdr:sp macro="" textlink="">
      <xdr:nvSpPr>
        <xdr:cNvPr id="2" name="WordArt 1">
          <a:extLst>
            <a:ext uri="{FF2B5EF4-FFF2-40B4-BE49-F238E27FC236}">
              <a16:creationId xmlns:a16="http://schemas.microsoft.com/office/drawing/2014/main" id="{00000000-0008-0000-0200-000002000000}"/>
            </a:ext>
          </a:extLst>
        </xdr:cNvPr>
        <xdr:cNvSpPr>
          <a:spLocks noChangeArrowheads="1" noChangeShapeType="1" noTextEdit="1"/>
        </xdr:cNvSpPr>
      </xdr:nvSpPr>
      <xdr:spPr bwMode="auto">
        <a:xfrm>
          <a:off x="190499" y="1"/>
          <a:ext cx="8705851" cy="495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92"/>
            </a:avLst>
          </a:prstTxWarp>
        </a:bodyPr>
        <a:lstStyle/>
        <a:p>
          <a:pPr algn="ctr" rtl="0">
            <a:buNone/>
          </a:pPr>
          <a:r>
            <a:rPr lang="en-US" sz="1400" kern="10" spc="0">
              <a:ln w="9525">
                <a:solidFill>
                  <a:srgbClr val="000000"/>
                </a:solidFill>
                <a:round/>
                <a:headEnd/>
                <a:tailEnd/>
              </a:ln>
              <a:solidFill>
                <a:srgbClr val="C85740"/>
              </a:solidFill>
              <a:effectLst/>
              <a:latin typeface="Arial Black"/>
            </a:rPr>
            <a:t>DENITRIFYING BIOREACTOR</a:t>
          </a:r>
          <a:r>
            <a:rPr lang="en-US" sz="1400" kern="10" spc="0" baseline="0">
              <a:ln w="9525">
                <a:solidFill>
                  <a:srgbClr val="000000"/>
                </a:solidFill>
                <a:round/>
                <a:headEnd/>
                <a:tailEnd/>
              </a:ln>
              <a:solidFill>
                <a:srgbClr val="C85740"/>
              </a:solidFill>
              <a:effectLst/>
              <a:latin typeface="Arial Black"/>
            </a:rPr>
            <a:t> </a:t>
          </a:r>
          <a:r>
            <a:rPr lang="en-US" sz="1400" kern="10" spc="0">
              <a:ln w="9525">
                <a:solidFill>
                  <a:srgbClr val="000000"/>
                </a:solidFill>
                <a:round/>
                <a:headEnd/>
                <a:tailEnd/>
              </a:ln>
              <a:solidFill>
                <a:srgbClr val="C85740"/>
              </a:solidFill>
              <a:effectLst/>
              <a:latin typeface="Arial Black"/>
            </a:rPr>
            <a:t>DESIGN</a:t>
          </a:r>
        </a:p>
      </xdr:txBody>
    </xdr:sp>
    <xdr:clientData/>
  </xdr:twoCellAnchor>
  <mc:AlternateContent xmlns:mc="http://schemas.openxmlformats.org/markup-compatibility/2006">
    <mc:Choice xmlns:a14="http://schemas.microsoft.com/office/drawing/2010/main" Requires="a14">
      <xdr:twoCellAnchor editAs="oneCell">
        <xdr:from>
          <xdr:col>2</xdr:col>
          <xdr:colOff>1771650</xdr:colOff>
          <xdr:row>10</xdr:row>
          <xdr:rowOff>38100</xdr:rowOff>
        </xdr:from>
        <xdr:to>
          <xdr:col>3</xdr:col>
          <xdr:colOff>628650</xdr:colOff>
          <xdr:row>10</xdr:row>
          <xdr:rowOff>276225</xdr:rowOff>
        </xdr:to>
        <xdr:sp macro="" textlink="">
          <xdr:nvSpPr>
            <xdr:cNvPr id="16385" name="Drop Down 1" hidden="1">
              <a:extLst>
                <a:ext uri="{63B3BB69-23CF-44E3-9099-C40C66FF867C}">
                  <a14:compatExt spid="_x0000_s16385"/>
                </a:ext>
                <a:ext uri="{FF2B5EF4-FFF2-40B4-BE49-F238E27FC236}">
                  <a16:creationId xmlns:a16="http://schemas.microsoft.com/office/drawing/2014/main" id="{00000000-0008-0000-02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2076450</xdr:colOff>
          <xdr:row>8</xdr:row>
          <xdr:rowOff>19049</xdr:rowOff>
        </xdr:from>
        <xdr:to>
          <xdr:col>3</xdr:col>
          <xdr:colOff>628650</xdr:colOff>
          <xdr:row>8</xdr:row>
          <xdr:rowOff>238124</xdr:rowOff>
        </xdr:to>
        <xdr:sp macro="" textlink="">
          <xdr:nvSpPr>
            <xdr:cNvPr id="16386" name="Drop Down 2" hidden="1">
              <a:extLst>
                <a:ext uri="{63B3BB69-23CF-44E3-9099-C40C66FF867C}">
                  <a14:compatExt spid="_x0000_s16386"/>
                </a:ext>
                <a:ext uri="{FF2B5EF4-FFF2-40B4-BE49-F238E27FC236}">
                  <a16:creationId xmlns:a16="http://schemas.microsoft.com/office/drawing/2014/main" id="{00000000-0008-0000-02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75715</xdr:colOff>
      <xdr:row>18</xdr:row>
      <xdr:rowOff>28575</xdr:rowOff>
    </xdr:from>
    <xdr:to>
      <xdr:col>11</xdr:col>
      <xdr:colOff>882176</xdr:colOff>
      <xdr:row>33</xdr:row>
      <xdr:rowOff>76200</xdr:rowOff>
    </xdr:to>
    <xdr:grpSp>
      <xdr:nvGrpSpPr>
        <xdr:cNvPr id="5" name="Group 4">
          <a:extLst>
            <a:ext uri="{FF2B5EF4-FFF2-40B4-BE49-F238E27FC236}">
              <a16:creationId xmlns:a16="http://schemas.microsoft.com/office/drawing/2014/main" id="{00000000-0008-0000-0200-000005000000}"/>
            </a:ext>
          </a:extLst>
        </xdr:cNvPr>
        <xdr:cNvGrpSpPr/>
      </xdr:nvGrpSpPr>
      <xdr:grpSpPr>
        <a:xfrm>
          <a:off x="6266965" y="4667250"/>
          <a:ext cx="3521086" cy="2714625"/>
          <a:chOff x="6124090" y="4171950"/>
          <a:chExt cx="3521086" cy="2714625"/>
        </a:xfrm>
      </xdr:grpSpPr>
      <xdr:grpSp>
        <xdr:nvGrpSpPr>
          <xdr:cNvPr id="6" name="Group 3">
            <a:extLst>
              <a:ext uri="{FF2B5EF4-FFF2-40B4-BE49-F238E27FC236}">
                <a16:creationId xmlns:a16="http://schemas.microsoft.com/office/drawing/2014/main" id="{00000000-0008-0000-0200-000006000000}"/>
              </a:ext>
            </a:extLst>
          </xdr:cNvPr>
          <xdr:cNvGrpSpPr>
            <a:grpSpLocks/>
          </xdr:cNvGrpSpPr>
        </xdr:nvGrpSpPr>
        <xdr:grpSpPr bwMode="auto">
          <a:xfrm>
            <a:off x="6124090" y="4171950"/>
            <a:ext cx="3521086" cy="2714625"/>
            <a:chOff x="4933950" y="714375"/>
            <a:chExt cx="5334000" cy="3097202"/>
          </a:xfrm>
        </xdr:grpSpPr>
        <xdr:pic>
          <xdr:nvPicPr>
            <xdr:cNvPr id="11" name="Picture 2">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33950" y="714375"/>
              <a:ext cx="5334000" cy="30972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2" name="Picture 4">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62817" t="69797" r="16995" b="18890"/>
            <a:stretch>
              <a:fillRect/>
            </a:stretch>
          </xdr:blipFill>
          <xdr:spPr bwMode="auto">
            <a:xfrm>
              <a:off x="6048374" y="2562225"/>
              <a:ext cx="22193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xnSp macro="">
        <xdr:nvCxnSpPr>
          <xdr:cNvPr id="7" name="Straight Connector 6">
            <a:extLst>
              <a:ext uri="{FF2B5EF4-FFF2-40B4-BE49-F238E27FC236}">
                <a16:creationId xmlns:a16="http://schemas.microsoft.com/office/drawing/2014/main" id="{00000000-0008-0000-0200-000007000000}"/>
              </a:ext>
            </a:extLst>
          </xdr:cNvPr>
          <xdr:cNvCxnSpPr/>
        </xdr:nvCxnSpPr>
        <xdr:spPr>
          <a:xfrm flipH="1" flipV="1">
            <a:off x="6671115" y="4429125"/>
            <a:ext cx="6288" cy="892969"/>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00000000-0008-0000-0200-000008000000}"/>
              </a:ext>
            </a:extLst>
          </xdr:cNvPr>
          <xdr:cNvCxnSpPr/>
        </xdr:nvCxnSpPr>
        <xdr:spPr>
          <a:xfrm flipH="1" flipV="1">
            <a:off x="9047848" y="4457700"/>
            <a:ext cx="6288" cy="892969"/>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Arrow Connector 8">
            <a:extLst>
              <a:ext uri="{FF2B5EF4-FFF2-40B4-BE49-F238E27FC236}">
                <a16:creationId xmlns:a16="http://schemas.microsoft.com/office/drawing/2014/main" id="{00000000-0008-0000-0200-000009000000}"/>
              </a:ext>
            </a:extLst>
          </xdr:cNvPr>
          <xdr:cNvCxnSpPr/>
        </xdr:nvCxnSpPr>
        <xdr:spPr>
          <a:xfrm>
            <a:off x="6671115" y="4507707"/>
            <a:ext cx="2383021" cy="7144"/>
          </a:xfrm>
          <a:prstGeom prst="straightConnector1">
            <a:avLst/>
          </a:prstGeom>
          <a:ln w="12700">
            <a:solidFill>
              <a:sysClr val="windowText" lastClr="000000"/>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7168030" y="4300538"/>
            <a:ext cx="1450899" cy="282112"/>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Flow length L</a:t>
            </a:r>
          </a:p>
        </xdr:txBody>
      </xdr:sp>
    </xdr:grpSp>
    <xdr:clientData/>
  </xdr:twoCellAnchor>
  <xdr:twoCellAnchor>
    <xdr:from>
      <xdr:col>7</xdr:col>
      <xdr:colOff>723900</xdr:colOff>
      <xdr:row>31</xdr:row>
      <xdr:rowOff>66676</xdr:rowOff>
    </xdr:from>
    <xdr:to>
      <xdr:col>7</xdr:col>
      <xdr:colOff>731520</xdr:colOff>
      <xdr:row>33</xdr:row>
      <xdr:rowOff>160020</xdr:rowOff>
    </xdr:to>
    <xdr:cxnSp macro="">
      <xdr:nvCxnSpPr>
        <xdr:cNvPr id="13" name="Straight Connector 12">
          <a:extLst>
            <a:ext uri="{FF2B5EF4-FFF2-40B4-BE49-F238E27FC236}">
              <a16:creationId xmlns:a16="http://schemas.microsoft.com/office/drawing/2014/main" id="{00000000-0008-0000-0200-00000D000000}"/>
            </a:ext>
          </a:extLst>
        </xdr:cNvPr>
        <xdr:cNvCxnSpPr/>
      </xdr:nvCxnSpPr>
      <xdr:spPr>
        <a:xfrm flipH="1" flipV="1">
          <a:off x="7094220" y="7038976"/>
          <a:ext cx="7620" cy="413384"/>
        </a:xfrm>
        <a:prstGeom prst="line">
          <a:avLst/>
        </a:prstGeom>
        <a:ln w="127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1828800</xdr:colOff>
          <xdr:row>17</xdr:row>
          <xdr:rowOff>28575</xdr:rowOff>
        </xdr:from>
        <xdr:to>
          <xdr:col>3</xdr:col>
          <xdr:colOff>704850</xdr:colOff>
          <xdr:row>18</xdr:row>
          <xdr:rowOff>28575</xdr:rowOff>
        </xdr:to>
        <xdr:sp macro="" textlink="">
          <xdr:nvSpPr>
            <xdr:cNvPr id="16387" name="Drop Down 3" hidden="1">
              <a:extLst>
                <a:ext uri="{63B3BB69-23CF-44E3-9099-C40C66FF867C}">
                  <a14:compatExt spid="_x0000_s16387"/>
                </a:ext>
                <a:ext uri="{FF2B5EF4-FFF2-40B4-BE49-F238E27FC236}">
                  <a16:creationId xmlns:a16="http://schemas.microsoft.com/office/drawing/2014/main" id="{00000000-0008-0000-02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11</xdr:col>
      <xdr:colOff>281940</xdr:colOff>
      <xdr:row>31</xdr:row>
      <xdr:rowOff>97156</xdr:rowOff>
    </xdr:from>
    <xdr:to>
      <xdr:col>11</xdr:col>
      <xdr:colOff>289560</xdr:colOff>
      <xdr:row>34</xdr:row>
      <xdr:rowOff>0</xdr:rowOff>
    </xdr:to>
    <xdr:cxnSp macro="">
      <xdr:nvCxnSpPr>
        <xdr:cNvPr id="18" name="Straight Connector 17">
          <a:extLst>
            <a:ext uri="{FF2B5EF4-FFF2-40B4-BE49-F238E27FC236}">
              <a16:creationId xmlns:a16="http://schemas.microsoft.com/office/drawing/2014/main" id="{5AFFC8F4-3618-48C4-99E5-46E63C11DC8A}"/>
            </a:ext>
          </a:extLst>
        </xdr:cNvPr>
        <xdr:cNvCxnSpPr/>
      </xdr:nvCxnSpPr>
      <xdr:spPr>
        <a:xfrm flipH="1" flipV="1">
          <a:off x="9441180" y="7069456"/>
          <a:ext cx="7620" cy="413384"/>
        </a:xfrm>
        <a:prstGeom prst="line">
          <a:avLst/>
        </a:prstGeom>
        <a:ln w="127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708660</xdr:colOff>
      <xdr:row>32</xdr:row>
      <xdr:rowOff>30480</xdr:rowOff>
    </xdr:from>
    <xdr:to>
      <xdr:col>7</xdr:col>
      <xdr:colOff>205740</xdr:colOff>
      <xdr:row>32</xdr:row>
      <xdr:rowOff>30480</xdr:rowOff>
    </xdr:to>
    <xdr:cxnSp macro="">
      <xdr:nvCxnSpPr>
        <xdr:cNvPr id="20" name="Straight Connector 19">
          <a:extLst>
            <a:ext uri="{FF2B5EF4-FFF2-40B4-BE49-F238E27FC236}">
              <a16:creationId xmlns:a16="http://schemas.microsoft.com/office/drawing/2014/main" id="{18D270D8-1001-457B-8AA5-4026BA79EF15}"/>
            </a:ext>
          </a:extLst>
        </xdr:cNvPr>
        <xdr:cNvCxnSpPr/>
      </xdr:nvCxnSpPr>
      <xdr:spPr>
        <a:xfrm>
          <a:off x="6225540" y="7193280"/>
          <a:ext cx="350520" cy="0"/>
        </a:xfrm>
        <a:prstGeom prst="line">
          <a:avLst/>
        </a:prstGeom>
        <a:ln w="127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784860</xdr:colOff>
      <xdr:row>32</xdr:row>
      <xdr:rowOff>38100</xdr:rowOff>
    </xdr:from>
    <xdr:to>
      <xdr:col>12</xdr:col>
      <xdr:colOff>213360</xdr:colOff>
      <xdr:row>32</xdr:row>
      <xdr:rowOff>45720</xdr:rowOff>
    </xdr:to>
    <xdr:cxnSp macro="">
      <xdr:nvCxnSpPr>
        <xdr:cNvPr id="23" name="Straight Connector 22">
          <a:extLst>
            <a:ext uri="{FF2B5EF4-FFF2-40B4-BE49-F238E27FC236}">
              <a16:creationId xmlns:a16="http://schemas.microsoft.com/office/drawing/2014/main" id="{2CEA32C3-C6B1-41F1-AFDB-689F7B23FA1C}"/>
            </a:ext>
          </a:extLst>
        </xdr:cNvPr>
        <xdr:cNvCxnSpPr/>
      </xdr:nvCxnSpPr>
      <xdr:spPr>
        <a:xfrm flipH="1" flipV="1">
          <a:off x="9944100" y="7200900"/>
          <a:ext cx="388620" cy="7620"/>
        </a:xfrm>
        <a:prstGeom prst="line">
          <a:avLst/>
        </a:prstGeom>
        <a:ln w="127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6</xdr:row>
      <xdr:rowOff>0</xdr:rowOff>
    </xdr:from>
    <xdr:to>
      <xdr:col>5</xdr:col>
      <xdr:colOff>190500</xdr:colOff>
      <xdr:row>19</xdr:row>
      <xdr:rowOff>57150</xdr:rowOff>
    </xdr:to>
    <xdr:pic>
      <xdr:nvPicPr>
        <xdr:cNvPr id="2" name="Picture 9">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162050"/>
          <a:ext cx="2628900" cy="236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42</xdr:row>
      <xdr:rowOff>0</xdr:rowOff>
    </xdr:from>
    <xdr:to>
      <xdr:col>15</xdr:col>
      <xdr:colOff>285750</xdr:colOff>
      <xdr:row>57</xdr:row>
      <xdr:rowOff>66675</xdr:rowOff>
    </xdr:to>
    <xdr:pic>
      <xdr:nvPicPr>
        <xdr:cNvPr id="3" name="Picture 16">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76800" y="8124825"/>
          <a:ext cx="4552950" cy="2495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504825</xdr:colOff>
      <xdr:row>5</xdr:row>
      <xdr:rowOff>104775</xdr:rowOff>
    </xdr:from>
    <xdr:to>
      <xdr:col>19</xdr:col>
      <xdr:colOff>228600</xdr:colOff>
      <xdr:row>24</xdr:row>
      <xdr:rowOff>85725</xdr:rowOff>
    </xdr:to>
    <xdr:pic>
      <xdr:nvPicPr>
        <xdr:cNvPr id="4" name="Picture 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91225" y="1104900"/>
          <a:ext cx="5819775" cy="3257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447675</xdr:colOff>
      <xdr:row>2</xdr:row>
      <xdr:rowOff>171450</xdr:rowOff>
    </xdr:from>
    <xdr:to>
      <xdr:col>17</xdr:col>
      <xdr:colOff>600075</xdr:colOff>
      <xdr:row>5</xdr:row>
      <xdr:rowOff>85725</xdr:rowOff>
    </xdr:to>
    <xdr:pic>
      <xdr:nvPicPr>
        <xdr:cNvPr id="5" name="Picture 2">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34075" y="485775"/>
          <a:ext cx="50292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590550</xdr:colOff>
      <xdr:row>29</xdr:row>
      <xdr:rowOff>171450</xdr:rowOff>
    </xdr:from>
    <xdr:to>
      <xdr:col>34</xdr:col>
      <xdr:colOff>371475</xdr:colOff>
      <xdr:row>69</xdr:row>
      <xdr:rowOff>66675</xdr:rowOff>
    </xdr:to>
    <xdr:pic>
      <xdr:nvPicPr>
        <xdr:cNvPr id="6" name="Picture 3">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953750" y="5743575"/>
          <a:ext cx="10144125" cy="681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400050</xdr:colOff>
      <xdr:row>26</xdr:row>
      <xdr:rowOff>0</xdr:rowOff>
    </xdr:from>
    <xdr:to>
      <xdr:col>34</xdr:col>
      <xdr:colOff>342900</xdr:colOff>
      <xdr:row>28</xdr:row>
      <xdr:rowOff>95250</xdr:rowOff>
    </xdr:to>
    <xdr:pic>
      <xdr:nvPicPr>
        <xdr:cNvPr id="7" name="Picture 4">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763250" y="4667250"/>
          <a:ext cx="103060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ads-pipe.com/pdf/en/A1.02-Single_Wall_Perf_Patter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H71"/>
  <sheetViews>
    <sheetView showGridLines="0" tabSelected="1" zoomScaleNormal="100" zoomScalePageLayoutView="75" workbookViewId="0">
      <selection activeCell="D10" sqref="D10"/>
    </sheetView>
  </sheetViews>
  <sheetFormatPr defaultColWidth="9.140625" defaultRowHeight="12.75" x14ac:dyDescent="0.2"/>
  <cols>
    <col min="1" max="1" width="2.85546875" customWidth="1"/>
    <col min="2" max="2" width="14.85546875" customWidth="1"/>
    <col min="3" max="3" width="32.85546875" customWidth="1"/>
    <col min="4" max="4" width="10.7109375" customWidth="1"/>
    <col min="5" max="5" width="8.42578125" customWidth="1"/>
    <col min="6" max="6" width="10.7109375" customWidth="1"/>
    <col min="7" max="7" width="12.42578125" customWidth="1"/>
    <col min="8" max="8" width="13.28515625" customWidth="1"/>
    <col min="9" max="9" width="12.5703125" bestFit="1" customWidth="1"/>
    <col min="12" max="12" width="14" customWidth="1"/>
    <col min="13" max="15" width="14.140625" customWidth="1"/>
    <col min="16" max="16" width="9.85546875" customWidth="1"/>
    <col min="17" max="17" width="9.5703125" customWidth="1"/>
    <col min="18" max="19" width="9.140625" customWidth="1"/>
    <col min="20" max="34" width="9.140625" hidden="1" customWidth="1"/>
    <col min="35" max="38" width="9.140625" customWidth="1"/>
  </cols>
  <sheetData>
    <row r="1" spans="1:27" ht="47.25" customHeight="1" x14ac:dyDescent="0.2"/>
    <row r="2" spans="1:27" ht="25.9" customHeight="1" x14ac:dyDescent="0.2">
      <c r="B2" s="9" t="s">
        <v>155</v>
      </c>
      <c r="C2" s="10"/>
      <c r="D2" s="10"/>
      <c r="E2" s="9" t="str">
        <f>Info!A1</f>
        <v>IaDenitrifyingBioreactor.xlsx</v>
      </c>
      <c r="F2" s="10"/>
      <c r="H2" s="134"/>
      <c r="I2" s="134"/>
      <c r="K2" s="130" t="str">
        <f>Info!A2</f>
        <v>Version 3.1</v>
      </c>
      <c r="L2" s="10"/>
    </row>
    <row r="3" spans="1:27" ht="15.75" x14ac:dyDescent="0.25">
      <c r="B3" s="11" t="s">
        <v>12</v>
      </c>
      <c r="C3" s="143"/>
      <c r="E3" s="12" t="s">
        <v>9</v>
      </c>
      <c r="F3" s="207"/>
      <c r="G3" s="207"/>
      <c r="H3" s="13" t="s">
        <v>10</v>
      </c>
      <c r="I3" s="205"/>
      <c r="J3" s="205"/>
    </row>
    <row r="4" spans="1:27" ht="15.95" customHeight="1" x14ac:dyDescent="0.25">
      <c r="A4" s="1"/>
      <c r="B4" s="11" t="s">
        <v>13</v>
      </c>
      <c r="C4" s="143"/>
      <c r="E4" s="12" t="s">
        <v>11</v>
      </c>
      <c r="F4" s="206"/>
      <c r="G4" s="206"/>
      <c r="H4" s="13" t="s">
        <v>10</v>
      </c>
      <c r="I4" s="206"/>
      <c r="J4" s="206"/>
      <c r="L4" s="1"/>
    </row>
    <row r="5" spans="1:27" ht="15.95" customHeight="1" x14ac:dyDescent="0.25">
      <c r="A5" s="1"/>
      <c r="B5" s="11" t="s">
        <v>14</v>
      </c>
      <c r="C5" s="143"/>
      <c r="E5" s="13"/>
      <c r="Q5" s="1"/>
      <c r="R5" s="1"/>
      <c r="Z5" s="6" t="s">
        <v>37</v>
      </c>
    </row>
    <row r="6" spans="1:27" ht="15.95" customHeight="1" x14ac:dyDescent="0.25">
      <c r="A6" s="1"/>
      <c r="C6" s="11"/>
      <c r="D6" s="13"/>
      <c r="E6" s="13"/>
      <c r="F6" s="158"/>
      <c r="G6" s="148" t="s">
        <v>134</v>
      </c>
      <c r="V6" s="7">
        <v>1</v>
      </c>
      <c r="Z6" s="6">
        <f>IF(D14&gt;0,D14*0.15,10000)</f>
        <v>10000</v>
      </c>
      <c r="AA6" s="6" t="s">
        <v>43</v>
      </c>
    </row>
    <row r="7" spans="1:27" ht="15.75" thickBot="1" x14ac:dyDescent="0.25">
      <c r="B7" s="23" t="s">
        <v>42</v>
      </c>
      <c r="J7" s="23"/>
      <c r="V7">
        <v>1</v>
      </c>
      <c r="W7" s="6" t="s">
        <v>15</v>
      </c>
      <c r="Z7">
        <f>IF(I11&gt;0,I11*0.15,10000)</f>
        <v>10000</v>
      </c>
      <c r="AA7" s="6" t="s">
        <v>44</v>
      </c>
    </row>
    <row r="8" spans="1:27" ht="13.5" thickTop="1" x14ac:dyDescent="0.2">
      <c r="B8" s="24" t="s">
        <v>33</v>
      </c>
      <c r="C8" s="15"/>
      <c r="D8" s="15"/>
      <c r="E8" s="15"/>
      <c r="F8" s="25" t="s">
        <v>34</v>
      </c>
      <c r="G8" s="15"/>
      <c r="H8" s="15"/>
      <c r="I8" s="48"/>
      <c r="J8" s="133"/>
      <c r="K8" s="133"/>
      <c r="L8" s="133"/>
      <c r="V8">
        <v>2</v>
      </c>
      <c r="W8" s="6" t="s">
        <v>16</v>
      </c>
      <c r="Z8">
        <f>IF(I14&gt;0,I14*0.15,10000)</f>
        <v>10000</v>
      </c>
      <c r="AA8" s="6" t="s">
        <v>45</v>
      </c>
    </row>
    <row r="9" spans="1:27" ht="20.100000000000001" customHeight="1" x14ac:dyDescent="0.2">
      <c r="B9" s="29" t="s">
        <v>25</v>
      </c>
      <c r="C9" s="30"/>
      <c r="D9" s="31"/>
      <c r="F9" s="35" t="s">
        <v>28</v>
      </c>
      <c r="G9" s="30"/>
      <c r="H9" s="30"/>
      <c r="I9" s="135"/>
      <c r="J9" s="133"/>
      <c r="K9" s="133"/>
      <c r="V9">
        <v>3</v>
      </c>
      <c r="W9" s="6" t="s">
        <v>23</v>
      </c>
      <c r="Z9">
        <f>IF(K10&gt;0,K10,10000)</f>
        <v>10000</v>
      </c>
      <c r="AA9" s="6" t="s">
        <v>46</v>
      </c>
    </row>
    <row r="10" spans="1:27" ht="20.100000000000001" customHeight="1" x14ac:dyDescent="0.2">
      <c r="B10" s="2" t="s">
        <v>26</v>
      </c>
      <c r="D10" s="137"/>
      <c r="F10" s="36" t="s">
        <v>29</v>
      </c>
      <c r="I10" s="135"/>
      <c r="J10" s="6"/>
      <c r="K10" s="76"/>
      <c r="L10" s="144"/>
      <c r="Z10">
        <f>MIN(Z6:Z9)</f>
        <v>10000</v>
      </c>
    </row>
    <row r="11" spans="1:27" ht="27.75" customHeight="1" x14ac:dyDescent="0.2">
      <c r="B11" s="2" t="s">
        <v>27</v>
      </c>
      <c r="C11" s="6"/>
      <c r="D11" s="33"/>
      <c r="F11" s="37" t="s">
        <v>30</v>
      </c>
      <c r="G11" s="38"/>
      <c r="H11" s="38"/>
      <c r="I11" s="39">
        <f>I9*I10*43560/12/24/3600</f>
        <v>0</v>
      </c>
      <c r="J11" s="9"/>
      <c r="P11" s="204"/>
      <c r="Q11" s="204"/>
      <c r="R11" s="204"/>
    </row>
    <row r="12" spans="1:27" ht="15.75" customHeight="1" x14ac:dyDescent="0.2">
      <c r="B12" s="2"/>
      <c r="C12" s="202">
        <f>IF(V6=2,0.012,IF(V6=3, 0.013,Y14))</f>
        <v>1.4999999999999999E-2</v>
      </c>
      <c r="D12" s="203"/>
      <c r="I12" s="17"/>
      <c r="J12" s="200"/>
      <c r="K12" s="201"/>
      <c r="L12" s="201"/>
      <c r="M12" s="202"/>
      <c r="N12" s="202"/>
    </row>
    <row r="13" spans="1:27" ht="15" customHeight="1" x14ac:dyDescent="0.2">
      <c r="B13" s="2" t="s">
        <v>32</v>
      </c>
      <c r="D13" s="34">
        <f>1.49*(D10/100)^0.5*((Z14/12/4)^(2/3))/C12</f>
        <v>0</v>
      </c>
      <c r="F13" s="26" t="s">
        <v>36</v>
      </c>
      <c r="I13" s="17"/>
      <c r="X13" s="6" t="s">
        <v>17</v>
      </c>
      <c r="Y13" s="41" t="s">
        <v>18</v>
      </c>
      <c r="Z13" s="41" t="s">
        <v>19</v>
      </c>
      <c r="AA13" s="41" t="s">
        <v>20</v>
      </c>
    </row>
    <row r="14" spans="1:27" ht="24.75" customHeight="1" thickBot="1" x14ac:dyDescent="0.25">
      <c r="B14" s="52" t="s">
        <v>31</v>
      </c>
      <c r="C14" s="49"/>
      <c r="D14" s="53">
        <f>+D13*PI()*(Z14/2/12)^2</f>
        <v>0</v>
      </c>
      <c r="E14" s="49"/>
      <c r="F14" s="54" t="s">
        <v>35</v>
      </c>
      <c r="G14" s="55"/>
      <c r="H14" s="55"/>
      <c r="I14" s="138"/>
      <c r="V14" s="6" t="s">
        <v>15</v>
      </c>
      <c r="X14" s="7">
        <v>2</v>
      </c>
      <c r="Y14" s="42">
        <f>INDEX(X19:X27,X14)</f>
        <v>1.4999999999999999E-2</v>
      </c>
      <c r="Z14" s="42">
        <f>INDEX(V19:V27,X14)</f>
        <v>5</v>
      </c>
      <c r="AA14" s="42">
        <f>INDEX(Y19:Y27,X14)</f>
        <v>1</v>
      </c>
    </row>
    <row r="15" spans="1:27" ht="13.5" thickTop="1" x14ac:dyDescent="0.2">
      <c r="B15" s="14"/>
      <c r="C15" s="15"/>
      <c r="D15" s="57"/>
      <c r="E15" s="15"/>
      <c r="F15" s="15"/>
      <c r="G15" s="15"/>
      <c r="H15" s="15"/>
      <c r="I15" s="48"/>
      <c r="V15" s="6"/>
      <c r="Y15" s="42"/>
      <c r="Z15" s="42"/>
      <c r="AA15" s="42"/>
    </row>
    <row r="16" spans="1:27" ht="13.5" thickBot="1" x14ac:dyDescent="0.25">
      <c r="B16" s="27" t="s">
        <v>41</v>
      </c>
      <c r="C16" s="20"/>
      <c r="D16" s="111">
        <f>IF(Z10=10000,0,Z10)</f>
        <v>0</v>
      </c>
      <c r="E16" s="51" t="s">
        <v>130</v>
      </c>
      <c r="F16" s="20"/>
      <c r="G16" s="20"/>
      <c r="H16" s="20"/>
      <c r="I16" s="28"/>
      <c r="V16" s="6"/>
      <c r="Y16" s="42"/>
      <c r="Z16" s="42"/>
      <c r="AA16" s="42"/>
    </row>
    <row r="17" spans="2:33" ht="24.75" customHeight="1" thickTop="1" thickBot="1" x14ac:dyDescent="0.25">
      <c r="B17" s="23" t="s">
        <v>47</v>
      </c>
      <c r="D17" s="22"/>
      <c r="V17" s="6"/>
      <c r="Y17" s="42"/>
      <c r="Z17" s="42"/>
      <c r="AA17" s="42"/>
    </row>
    <row r="18" spans="2:33" ht="19.5" customHeight="1" thickTop="1" x14ac:dyDescent="0.2">
      <c r="B18" s="14" t="s">
        <v>48</v>
      </c>
      <c r="C18" s="21"/>
      <c r="D18" s="59"/>
      <c r="E18" s="16"/>
      <c r="H18" s="139"/>
      <c r="I18" s="6" t="s">
        <v>120</v>
      </c>
      <c r="V18" s="43" t="s">
        <v>21</v>
      </c>
      <c r="W18" s="44"/>
      <c r="X18" s="42" t="s">
        <v>18</v>
      </c>
      <c r="Y18" s="6" t="s">
        <v>22</v>
      </c>
      <c r="AB18" t="s">
        <v>103</v>
      </c>
    </row>
    <row r="19" spans="2:33" ht="15.75" customHeight="1" x14ac:dyDescent="0.2">
      <c r="B19" s="2" t="s">
        <v>49</v>
      </c>
      <c r="C19" s="6"/>
      <c r="D19" s="58">
        <f>INDEX($W43:$Y45,$V39,$Z35)</f>
        <v>0.47</v>
      </c>
      <c r="E19" s="41"/>
      <c r="G19" s="42" t="s">
        <v>92</v>
      </c>
      <c r="M19" t="s">
        <v>93</v>
      </c>
      <c r="V19" s="131">
        <v>4</v>
      </c>
      <c r="W19" s="46"/>
      <c r="X19" s="47">
        <v>1.4999999999999999E-2</v>
      </c>
      <c r="Y19">
        <v>1</v>
      </c>
      <c r="AB19">
        <f>(H35+L35)/2</f>
        <v>0</v>
      </c>
    </row>
    <row r="20" spans="2:33" ht="15" customHeight="1" x14ac:dyDescent="0.2">
      <c r="B20" s="2" t="s">
        <v>117</v>
      </c>
      <c r="C20" s="6"/>
      <c r="D20" s="108">
        <f>AF36</f>
        <v>9.6420239136774555E-2</v>
      </c>
      <c r="G20" s="42" t="s">
        <v>94</v>
      </c>
      <c r="M20" t="s">
        <v>94</v>
      </c>
      <c r="V20" s="131">
        <v>5</v>
      </c>
      <c r="W20" s="46"/>
      <c r="X20" s="47">
        <v>1.4999999999999999E-2</v>
      </c>
      <c r="Y20">
        <v>1</v>
      </c>
      <c r="AB20" t="s">
        <v>104</v>
      </c>
      <c r="AD20" s="6" t="s">
        <v>112</v>
      </c>
    </row>
    <row r="21" spans="2:33" ht="15" customHeight="1" x14ac:dyDescent="0.2">
      <c r="B21" s="81"/>
      <c r="C21" s="6" t="s">
        <v>119</v>
      </c>
      <c r="D21" s="136"/>
      <c r="G21" s="140"/>
      <c r="L21" s="6"/>
      <c r="M21" s="142"/>
      <c r="N21" s="76"/>
      <c r="O21" s="76"/>
      <c r="V21" s="131">
        <v>6</v>
      </c>
      <c r="W21" s="46"/>
      <c r="X21" s="47">
        <v>1.4999999999999999E-2</v>
      </c>
      <c r="Y21">
        <v>1</v>
      </c>
      <c r="AB21" s="117" t="e">
        <f>AD21-AB19</f>
        <v>#VALUE!</v>
      </c>
      <c r="AD21" t="e">
        <f>IF(M42&gt;0,M42/12+G33,I42/12+G33)</f>
        <v>#VALUE!</v>
      </c>
    </row>
    <row r="22" spans="2:33" ht="15" customHeight="1" x14ac:dyDescent="0.2">
      <c r="B22" s="2"/>
      <c r="C22" s="6"/>
      <c r="D22" s="58"/>
      <c r="G22" s="145" t="str">
        <f>IF($G$21&lt;$H$18+0.5-$G$33,"structure too short","")</f>
        <v>structure too short</v>
      </c>
      <c r="L22" s="6"/>
      <c r="V22" s="131">
        <v>8</v>
      </c>
      <c r="W22" s="46"/>
      <c r="X22" s="47">
        <v>1.6E-2</v>
      </c>
      <c r="Y22">
        <v>1</v>
      </c>
      <c r="AB22" t="s">
        <v>105</v>
      </c>
      <c r="AD22" s="6" t="s">
        <v>112</v>
      </c>
      <c r="AF22" s="6" t="s">
        <v>113</v>
      </c>
    </row>
    <row r="23" spans="2:33" ht="15" customHeight="1" x14ac:dyDescent="0.2">
      <c r="B23" s="2" t="s">
        <v>51</v>
      </c>
      <c r="C23" s="6"/>
      <c r="D23" s="135"/>
      <c r="E23" s="208" t="str">
        <f>IF(ISNUMBER(D23/D24),D23/D24,"")</f>
        <v/>
      </c>
      <c r="F23" s="209"/>
      <c r="G23" s="6" t="s">
        <v>99</v>
      </c>
      <c r="L23" s="6"/>
      <c r="V23" s="131">
        <v>10</v>
      </c>
      <c r="W23" s="46"/>
      <c r="X23" s="47">
        <v>1.7000000000000001E-2</v>
      </c>
      <c r="Y23">
        <v>1</v>
      </c>
      <c r="AB23" s="117" t="e">
        <f>AD23-AB19</f>
        <v>#VALUE!</v>
      </c>
      <c r="AD23" t="e">
        <f>IF(M44&gt;0,M44/12+AG24,I44/12+AG24)</f>
        <v>#VALUE!</v>
      </c>
      <c r="AF23">
        <f>IF(M21&gt;0,M21,G21)</f>
        <v>0</v>
      </c>
    </row>
    <row r="24" spans="2:33" ht="15" customHeight="1" x14ac:dyDescent="0.2">
      <c r="B24" s="2" t="s">
        <v>50</v>
      </c>
      <c r="C24" s="6"/>
      <c r="D24" s="135"/>
      <c r="E24" s="210" t="str">
        <f>IF(ISNUMBER(D23/D24),IF(D23/D24&lt;4,"Multiple header distribution system required",""),"")</f>
        <v/>
      </c>
      <c r="F24" s="211"/>
      <c r="G24" s="141"/>
      <c r="V24" s="131">
        <v>12</v>
      </c>
      <c r="W24" s="46"/>
      <c r="X24" s="47">
        <v>1.7999999999999999E-2</v>
      </c>
      <c r="Y24">
        <v>1.5</v>
      </c>
      <c r="AF24" s="6" t="s">
        <v>98</v>
      </c>
      <c r="AG24">
        <f>IF(M33&gt;0,M33,G33)</f>
        <v>0</v>
      </c>
    </row>
    <row r="25" spans="2:33" ht="15" customHeight="1" x14ac:dyDescent="0.2">
      <c r="B25" s="81"/>
      <c r="E25" s="210"/>
      <c r="F25" s="211"/>
      <c r="G25" s="16" t="str">
        <f>IF($G$24&gt;$H$18-$AB$35-0.5,"stoplog too high","")</f>
        <v>stoplog too high</v>
      </c>
      <c r="V25" s="131">
        <v>15</v>
      </c>
      <c r="W25" s="46"/>
      <c r="X25" s="47">
        <v>1.7999999999999999E-2</v>
      </c>
      <c r="Y25">
        <v>1.5</v>
      </c>
    </row>
    <row r="26" spans="2:33" ht="15" customHeight="1" x14ac:dyDescent="0.3">
      <c r="B26" s="2" t="s">
        <v>124</v>
      </c>
      <c r="D26" s="127" t="str">
        <f>IF(ISNUMBER(AB21),AB21+0.5,"")</f>
        <v/>
      </c>
      <c r="E26" s="210"/>
      <c r="F26" s="211"/>
      <c r="M26" s="6" t="s">
        <v>100</v>
      </c>
      <c r="N26" s="6"/>
      <c r="O26" s="6"/>
      <c r="V26" s="131">
        <v>18</v>
      </c>
      <c r="W26" s="46"/>
      <c r="X26" s="47">
        <v>0.02</v>
      </c>
      <c r="Y26">
        <v>1.5</v>
      </c>
    </row>
    <row r="27" spans="2:33" ht="9.75" customHeight="1" x14ac:dyDescent="0.2">
      <c r="B27" s="2"/>
      <c r="C27" s="6"/>
      <c r="D27" s="17"/>
      <c r="V27" s="131">
        <v>21</v>
      </c>
      <c r="W27" s="46"/>
      <c r="X27" s="47">
        <v>0.02</v>
      </c>
      <c r="Y27">
        <v>1.5</v>
      </c>
      <c r="AB27" s="2" t="s">
        <v>101</v>
      </c>
      <c r="AC27" s="6"/>
      <c r="AD27" s="124" t="e">
        <f>IF(AB21&gt;0,AB21*12,"")</f>
        <v>#VALUE!</v>
      </c>
    </row>
    <row r="28" spans="2:33" ht="15" customHeight="1" x14ac:dyDescent="0.2">
      <c r="B28" s="2" t="s">
        <v>52</v>
      </c>
      <c r="C28" s="6"/>
      <c r="D28" s="62" t="str">
        <f>IF(AC32=1,(AD27+AD28)/2/12,"")</f>
        <v/>
      </c>
      <c r="M28" s="141"/>
      <c r="N28" s="162"/>
      <c r="O28" s="162"/>
      <c r="AB28" s="2" t="s">
        <v>102</v>
      </c>
      <c r="AC28" s="6"/>
      <c r="AD28" s="62" t="e">
        <f>IF(AB23&gt;0,AB23*12,"")</f>
        <v>#VALUE!</v>
      </c>
    </row>
    <row r="29" spans="2:33" ht="15" customHeight="1" x14ac:dyDescent="0.2">
      <c r="B29" s="2" t="s">
        <v>53</v>
      </c>
      <c r="C29" s="6"/>
      <c r="D29" s="61" t="str">
        <f>IF(AC32=1,IF(D23&gt;0,(AD27-AD28)/12/D23,""),"")</f>
        <v/>
      </c>
    </row>
    <row r="30" spans="2:33" ht="15" customHeight="1" x14ac:dyDescent="0.2">
      <c r="B30" s="2"/>
      <c r="C30" s="6"/>
      <c r="D30" s="60"/>
      <c r="N30" s="6"/>
      <c r="O30" s="6"/>
    </row>
    <row r="31" spans="2:33" ht="15" customHeight="1" x14ac:dyDescent="0.2">
      <c r="B31" s="2" t="s">
        <v>54</v>
      </c>
      <c r="C31" s="6"/>
      <c r="D31" s="62" t="str">
        <f>IF(AND(D23&gt;0,D24&gt;0),I9/(D23*D24/100),"")</f>
        <v/>
      </c>
      <c r="G31" s="6" t="s">
        <v>92</v>
      </c>
      <c r="M31" s="6" t="s">
        <v>93</v>
      </c>
      <c r="N31" s="6"/>
      <c r="O31" s="6"/>
      <c r="V31" s="6" t="s">
        <v>62</v>
      </c>
      <c r="AC31" s="6" t="s">
        <v>114</v>
      </c>
    </row>
    <row r="32" spans="2:33" ht="15" customHeight="1" x14ac:dyDescent="0.2">
      <c r="B32" s="2" t="s">
        <v>167</v>
      </c>
      <c r="C32" s="6"/>
      <c r="D32" s="190" t="str">
        <f>IF(AND(ISNUMBER(D31),D31&gt;0),95.42/D31^0.435,"")</f>
        <v/>
      </c>
      <c r="E32" s="16" t="s">
        <v>166</v>
      </c>
      <c r="G32" s="6" t="s">
        <v>98</v>
      </c>
      <c r="M32" s="6" t="s">
        <v>98</v>
      </c>
      <c r="N32" s="162"/>
      <c r="O32" s="162"/>
      <c r="V32" s="6" t="s">
        <v>115</v>
      </c>
      <c r="AC32">
        <f>IF(AND(G21&gt;0,G33&gt;0,H35&gt;0,L35&gt;0,G24&gt;G33,G24&lt;G33+G21,M28&lt;AG24+AF23,M28&gt;AG24),1,0)</f>
        <v>0</v>
      </c>
    </row>
    <row r="33" spans="1:32" ht="15" x14ac:dyDescent="0.25">
      <c r="B33" s="2"/>
      <c r="C33" s="6"/>
      <c r="D33" s="17"/>
      <c r="G33" s="141"/>
      <c r="M33" s="141"/>
      <c r="V33" s="65" t="s">
        <v>63</v>
      </c>
    </row>
    <row r="34" spans="1:32" ht="15" customHeight="1" thickBot="1" x14ac:dyDescent="0.3">
      <c r="B34" s="2" t="s">
        <v>56</v>
      </c>
      <c r="C34" s="6"/>
      <c r="D34" s="191" t="str">
        <f>IF(AND(D35&gt;0,ISNUMBER(D35)),D23*D24*D28*D19/D35/(60*60),"")</f>
        <v/>
      </c>
      <c r="E34" s="16" t="s">
        <v>60</v>
      </c>
      <c r="S34" s="1"/>
      <c r="V34" s="65"/>
    </row>
    <row r="35" spans="1:32" ht="15" customHeight="1" thickBot="1" x14ac:dyDescent="0.25">
      <c r="B35" s="2" t="s">
        <v>57</v>
      </c>
      <c r="C35" s="6"/>
      <c r="D35" s="64" t="str">
        <f>IF(AC32=1,AF37*D29*(D24*D28),"")</f>
        <v/>
      </c>
      <c r="H35" s="141"/>
      <c r="L35" s="141"/>
      <c r="S35" s="1"/>
      <c r="V35" s="66" t="s">
        <v>64</v>
      </c>
      <c r="W35" s="67" t="s">
        <v>65</v>
      </c>
      <c r="X35" s="67" t="s">
        <v>66</v>
      </c>
      <c r="Y35" s="68" t="s">
        <v>67</v>
      </c>
      <c r="Z35" s="69">
        <v>2</v>
      </c>
      <c r="AA35" t="str">
        <f>W35</f>
        <v>No soil on top</v>
      </c>
      <c r="AB35" s="128">
        <f>IF(Z35=2,1,IF(Z35=3,2,0))</f>
        <v>1</v>
      </c>
    </row>
    <row r="36" spans="1:32" ht="15" customHeight="1" thickBot="1" x14ac:dyDescent="0.25">
      <c r="B36" s="27" t="s">
        <v>58</v>
      </c>
      <c r="C36" s="50"/>
      <c r="D36" s="110" t="str">
        <f>IF(AND(ISNUMBER(D35),D16&gt;0),D35/D16*100,"")</f>
        <v/>
      </c>
      <c r="E36" s="16" t="s">
        <v>61</v>
      </c>
      <c r="H36" s="6" t="s">
        <v>95</v>
      </c>
      <c r="L36" s="6" t="s">
        <v>95</v>
      </c>
      <c r="S36" s="1"/>
      <c r="V36" s="70" t="s">
        <v>68</v>
      </c>
      <c r="W36" s="71">
        <f>0.97/2.54/12</f>
        <v>3.1824146981627298E-2</v>
      </c>
      <c r="X36" s="71">
        <f>0.84/2.54/12</f>
        <v>2.7559055118110232E-2</v>
      </c>
      <c r="Y36" s="72">
        <f>0.94/2.54/12</f>
        <v>3.0839895013123356E-2</v>
      </c>
      <c r="AA36" t="str">
        <f>X35</f>
        <v>1 ft of soil</v>
      </c>
      <c r="AC36" s="6" t="s">
        <v>116</v>
      </c>
      <c r="AF36">
        <f>Conductivity!AJ74/2.54/12</f>
        <v>9.6420239136774555E-2</v>
      </c>
    </row>
    <row r="37" spans="1:32" ht="12.6" customHeight="1" thickTop="1" x14ac:dyDescent="0.2">
      <c r="B37" s="187" t="s">
        <v>168</v>
      </c>
      <c r="C37" s="15"/>
      <c r="D37" s="48"/>
      <c r="H37" s="6" t="s">
        <v>96</v>
      </c>
      <c r="L37" s="6" t="s">
        <v>97</v>
      </c>
      <c r="S37" s="1"/>
      <c r="V37" s="70" t="s">
        <v>69</v>
      </c>
      <c r="W37" s="71">
        <f>0.69/2.54/12</f>
        <v>2.2637795275590549E-2</v>
      </c>
      <c r="X37" s="71">
        <f>0.61/2.54/12</f>
        <v>2.001312335958005E-2</v>
      </c>
      <c r="Y37" s="72">
        <f>0.6/2.54/12</f>
        <v>1.968503937007874E-2</v>
      </c>
      <c r="AA37" t="str">
        <f>Y35</f>
        <v>2 ft of soil</v>
      </c>
      <c r="AC37" s="6" t="s">
        <v>118</v>
      </c>
      <c r="AF37">
        <f>IF(D21&gt;0,D21,AF36)</f>
        <v>9.6420239136774555E-2</v>
      </c>
    </row>
    <row r="38" spans="1:32" ht="15" customHeight="1" thickBot="1" x14ac:dyDescent="0.25">
      <c r="B38" s="212" t="str">
        <f>IF(X53=FALSE, "", IF(X50=TRUE, "ALL CRITERIA MET", IF(X51=TRUE, "NITRATE REDUCTION MET", IF(X52=TRUE, "CAPACITY AND RETENTION TIME MET", "STANDARD NOT MET"))))</f>
        <v/>
      </c>
      <c r="C38" s="213"/>
      <c r="D38" s="214"/>
      <c r="G38" s="129" t="str">
        <f>IF(AND(AC45=1,ISNUMBER(D36)),"Bioreactor chamber will not drain properly.  Please correct.","")</f>
        <v/>
      </c>
      <c r="S38" s="1"/>
      <c r="V38" s="73" t="s">
        <v>70</v>
      </c>
      <c r="W38" s="74">
        <f>0.69/2.54/12</f>
        <v>2.2637795275590549E-2</v>
      </c>
      <c r="X38" s="74">
        <f>0.59/2.54/12</f>
        <v>1.9356955380577426E-2</v>
      </c>
      <c r="Y38" s="75">
        <f>0.53/2.54/12</f>
        <v>1.7388451443569555E-2</v>
      </c>
    </row>
    <row r="39" spans="1:32" ht="15" customHeight="1" thickTop="1" thickBot="1" x14ac:dyDescent="0.25">
      <c r="B39" s="181"/>
      <c r="C39" s="15"/>
      <c r="D39" s="15"/>
      <c r="F39" s="159"/>
      <c r="G39" s="182"/>
      <c r="H39" s="6"/>
      <c r="S39" s="1"/>
      <c r="V39" s="69">
        <v>3</v>
      </c>
    </row>
    <row r="40" spans="1:32" ht="15" customHeight="1" thickBot="1" x14ac:dyDescent="0.25">
      <c r="B40" s="23" t="s">
        <v>189</v>
      </c>
      <c r="C40" s="180"/>
      <c r="D40" s="180"/>
      <c r="E40" s="19"/>
      <c r="G40" s="40" t="s">
        <v>106</v>
      </c>
      <c r="M40" s="6" t="s">
        <v>109</v>
      </c>
      <c r="S40" s="1"/>
    </row>
    <row r="41" spans="1:32" ht="15" customHeight="1" thickTop="1" thickBot="1" x14ac:dyDescent="0.25">
      <c r="B41" s="14" t="s">
        <v>178</v>
      </c>
      <c r="C41" s="15"/>
      <c r="D41" s="192"/>
      <c r="H41" s="120" t="s">
        <v>107</v>
      </c>
      <c r="I41" s="121" t="str">
        <f>IF(AC32=1,ROUND((G33+G21-G24)*12,0),"")</f>
        <v/>
      </c>
      <c r="J41" s="122" t="s">
        <v>110</v>
      </c>
      <c r="M41" s="42" t="str">
        <f>IF(AC32=1,IF(M42&gt;0,G21*12-M42,""),"")</f>
        <v/>
      </c>
      <c r="V41" s="76" t="s">
        <v>71</v>
      </c>
    </row>
    <row r="42" spans="1:32" ht="15" customHeight="1" x14ac:dyDescent="0.2">
      <c r="B42" s="2" t="s">
        <v>179</v>
      </c>
      <c r="D42" s="193"/>
      <c r="I42" s="42" t="str">
        <f>IF(AC32=1,G21*12-I41,"")</f>
        <v/>
      </c>
      <c r="J42" s="122" t="s">
        <v>111</v>
      </c>
      <c r="K42" s="1"/>
      <c r="L42" s="1"/>
      <c r="M42" s="146"/>
      <c r="P42" s="1"/>
      <c r="Q42" s="1"/>
      <c r="R42" s="1"/>
      <c r="V42" s="66" t="s">
        <v>64</v>
      </c>
      <c r="W42" s="67" t="s">
        <v>65</v>
      </c>
      <c r="X42" s="67" t="s">
        <v>66</v>
      </c>
      <c r="Y42" s="68" t="s">
        <v>67</v>
      </c>
      <c r="AC42" s="6" t="s">
        <v>121</v>
      </c>
    </row>
    <row r="43" spans="1:32" ht="15" customHeight="1" x14ac:dyDescent="0.2">
      <c r="B43" s="2" t="s">
        <v>180</v>
      </c>
      <c r="C43" s="1"/>
      <c r="D43" s="193"/>
      <c r="E43" s="16"/>
      <c r="H43" s="120" t="s">
        <v>108</v>
      </c>
      <c r="I43" s="121" t="str">
        <f>IF(AC32=1,ROUND((AG24+AF23-M28)*12,0),"")</f>
        <v/>
      </c>
      <c r="J43" s="122" t="s">
        <v>110</v>
      </c>
      <c r="K43" s="1"/>
      <c r="L43" s="1"/>
      <c r="M43" s="123" t="str">
        <f>IF(AC32=1,IF(M44&gt;0,AF23*12-M44,""),"")</f>
        <v/>
      </c>
      <c r="P43" s="1"/>
      <c r="Q43" s="1"/>
      <c r="R43" s="1"/>
      <c r="V43" s="70" t="s">
        <v>68</v>
      </c>
      <c r="W43" s="77">
        <v>0.59</v>
      </c>
      <c r="X43" s="77">
        <v>0.55000000000000004</v>
      </c>
      <c r="Y43" s="78">
        <v>0.54</v>
      </c>
      <c r="AC43">
        <f>IF(AND(ISBLANK(M21),ISBLANK(M33)),2,1)</f>
        <v>2</v>
      </c>
    </row>
    <row r="44" spans="1:32" ht="15" customHeight="1" x14ac:dyDescent="0.2">
      <c r="A44" s="1"/>
      <c r="B44" s="2" t="s">
        <v>181</v>
      </c>
      <c r="C44" s="1"/>
      <c r="D44" s="193"/>
      <c r="I44" s="42" t="str">
        <f>IF(AC32=1,AF23*12-I43,"")</f>
        <v/>
      </c>
      <c r="J44" s="122" t="s">
        <v>111</v>
      </c>
      <c r="M44" s="146"/>
      <c r="Q44" s="1"/>
      <c r="R44" s="1"/>
      <c r="V44" s="70" t="s">
        <v>69</v>
      </c>
      <c r="W44" s="77">
        <v>0.64</v>
      </c>
      <c r="X44" s="77">
        <v>0.6</v>
      </c>
      <c r="Y44" s="78">
        <v>0.59</v>
      </c>
      <c r="AC44" s="6" t="s">
        <v>123</v>
      </c>
    </row>
    <row r="45" spans="1:32" ht="13.5" thickBot="1" x14ac:dyDescent="0.25">
      <c r="A45" s="1"/>
      <c r="B45" s="81"/>
      <c r="D45" s="60"/>
      <c r="E45" s="1"/>
      <c r="F45" s="1"/>
      <c r="G45" s="1"/>
      <c r="H45" s="1"/>
      <c r="I45" s="1"/>
      <c r="J45" s="1"/>
      <c r="K45" s="1"/>
      <c r="L45" s="1"/>
      <c r="M45" s="1"/>
      <c r="P45" s="1"/>
      <c r="Q45" s="1"/>
      <c r="R45" s="1"/>
      <c r="V45" s="73" t="s">
        <v>70</v>
      </c>
      <c r="W45" s="79">
        <v>0.53</v>
      </c>
      <c r="X45" s="79">
        <v>0.47</v>
      </c>
      <c r="Y45" s="80">
        <v>0.47</v>
      </c>
      <c r="AC45">
        <f>IF(AND(AC43=1,H35&gt;L35,L35&gt;M33),0,IF(AND(AC43=2,L35&gt;H35,H35&gt;G33),0,1))</f>
        <v>1</v>
      </c>
    </row>
    <row r="46" spans="1:32" ht="13.5" thickBot="1" x14ac:dyDescent="0.25">
      <c r="A46" s="1"/>
      <c r="B46" s="2" t="s">
        <v>188</v>
      </c>
      <c r="D46" s="63" t="str">
        <f>IF(ISNUMBER(D26), IF(Z35=1, Y59, Y58), "")</f>
        <v/>
      </c>
      <c r="E46" s="1"/>
      <c r="F46" s="1"/>
      <c r="G46" s="1"/>
      <c r="H46" s="1"/>
      <c r="I46" s="1"/>
      <c r="J46" s="1"/>
      <c r="K46" s="1"/>
      <c r="L46" s="1"/>
      <c r="M46" s="1"/>
      <c r="P46" s="1"/>
      <c r="Q46" s="1"/>
      <c r="R46" s="1"/>
      <c r="V46" s="69">
        <v>3</v>
      </c>
    </row>
    <row r="47" spans="1:32" x14ac:dyDescent="0.2">
      <c r="A47" s="1"/>
      <c r="B47" s="2"/>
      <c r="C47" s="159" t="s">
        <v>191</v>
      </c>
      <c r="D47" s="135"/>
      <c r="E47" s="1"/>
      <c r="F47" s="1"/>
      <c r="G47" s="1"/>
      <c r="H47" s="1"/>
      <c r="I47" s="1"/>
      <c r="J47" s="1"/>
      <c r="K47" s="1"/>
      <c r="L47" s="1"/>
      <c r="M47" s="1"/>
      <c r="P47" s="1"/>
      <c r="Q47" s="1"/>
      <c r="R47" s="1"/>
    </row>
    <row r="48" spans="1:32" x14ac:dyDescent="0.2">
      <c r="A48" s="1"/>
      <c r="B48" s="81"/>
      <c r="D48" s="60"/>
      <c r="E48" s="1"/>
      <c r="F48" s="1"/>
      <c r="G48" s="1"/>
      <c r="H48" s="1"/>
      <c r="I48" s="1"/>
      <c r="J48" s="1"/>
      <c r="K48" s="1"/>
      <c r="L48" s="1"/>
      <c r="M48" s="1"/>
      <c r="P48" s="1"/>
      <c r="Q48" s="1"/>
      <c r="R48" s="1"/>
    </row>
    <row r="49" spans="1:31" x14ac:dyDescent="0.2">
      <c r="A49" s="1"/>
      <c r="B49" s="2" t="s">
        <v>190</v>
      </c>
      <c r="D49" s="63">
        <v>1</v>
      </c>
      <c r="E49" s="1"/>
      <c r="F49" s="1"/>
      <c r="G49" s="1"/>
      <c r="H49" s="1"/>
      <c r="I49" s="1"/>
      <c r="J49" s="1"/>
      <c r="K49" s="1"/>
      <c r="L49" s="1"/>
      <c r="M49" s="1"/>
      <c r="P49" s="1"/>
      <c r="Q49" s="1"/>
      <c r="R49" s="1"/>
      <c r="U49" s="132" t="s">
        <v>172</v>
      </c>
      <c r="AC49" s="132" t="s">
        <v>177</v>
      </c>
    </row>
    <row r="50" spans="1:31" x14ac:dyDescent="0.2">
      <c r="A50" s="1"/>
      <c r="B50" s="81"/>
      <c r="C50" s="159" t="s">
        <v>192</v>
      </c>
      <c r="D50" s="135"/>
      <c r="E50" s="1"/>
      <c r="F50" s="1"/>
      <c r="G50" s="1"/>
      <c r="H50" s="1"/>
      <c r="I50" s="1"/>
      <c r="J50" s="1"/>
      <c r="K50" s="1"/>
      <c r="L50" s="1"/>
      <c r="M50" s="1"/>
      <c r="P50" s="1"/>
      <c r="Q50" s="1"/>
      <c r="R50" s="1"/>
      <c r="V50" s="6" t="s">
        <v>173</v>
      </c>
      <c r="X50" t="b">
        <f>AND($D34&gt;3,$D36&gt;100,$D32&gt;20, $D32&lt;85)</f>
        <v>0</v>
      </c>
      <c r="AC50" s="6" t="s">
        <v>182</v>
      </c>
      <c r="AE50" s="117">
        <f>D41-H35</f>
        <v>0</v>
      </c>
    </row>
    <row r="51" spans="1:31" x14ac:dyDescent="0.2">
      <c r="A51" s="1"/>
      <c r="B51" s="81"/>
      <c r="D51" s="60"/>
      <c r="E51" s="1"/>
      <c r="F51" s="1"/>
      <c r="G51" s="1"/>
      <c r="H51" s="1"/>
      <c r="I51" s="1"/>
      <c r="J51" s="1"/>
      <c r="K51" s="1"/>
      <c r="L51" s="1"/>
      <c r="M51" s="1"/>
      <c r="P51" s="1"/>
      <c r="Q51" s="1"/>
      <c r="V51" t="s">
        <v>174</v>
      </c>
      <c r="X51" t="b">
        <f>AND($D32&gt;20, $D32&lt;85)</f>
        <v>0</v>
      </c>
      <c r="AC51" s="6" t="s">
        <v>183</v>
      </c>
      <c r="AE51" s="117">
        <f>D42-H35</f>
        <v>0</v>
      </c>
    </row>
    <row r="52" spans="1:31" x14ac:dyDescent="0.2">
      <c r="A52" s="1"/>
      <c r="B52" s="2" t="s">
        <v>186</v>
      </c>
      <c r="D52" s="185" t="str">
        <f>IF(AE57=TRUE, ROUND((D23*D24*AE55)/27,0), "")</f>
        <v/>
      </c>
      <c r="E52" s="1"/>
      <c r="F52" s="1"/>
      <c r="G52" s="1"/>
      <c r="H52" s="1"/>
      <c r="I52" s="1"/>
      <c r="J52" s="1"/>
      <c r="K52" s="1"/>
      <c r="L52" s="1"/>
      <c r="M52" s="1"/>
      <c r="P52" s="1"/>
      <c r="Q52" s="1"/>
      <c r="V52" s="42" t="s">
        <v>175</v>
      </c>
      <c r="X52" t="b">
        <f>AND($D34&gt;3,$D36&gt;100)</f>
        <v>1</v>
      </c>
      <c r="AC52" s="6" t="s">
        <v>184</v>
      </c>
      <c r="AE52" s="117">
        <f>D43-L35</f>
        <v>0</v>
      </c>
    </row>
    <row r="53" spans="1:31" x14ac:dyDescent="0.2">
      <c r="A53" s="1"/>
      <c r="B53" s="2" t="s">
        <v>187</v>
      </c>
      <c r="D53" s="185" t="str">
        <f>IF(Z63=TRUE, IF(Z35=1, Y61, Y60), "")</f>
        <v/>
      </c>
      <c r="E53" s="1"/>
      <c r="F53" s="1"/>
      <c r="G53" s="1"/>
      <c r="H53" s="1"/>
      <c r="I53" s="1"/>
      <c r="J53" s="1"/>
      <c r="K53" s="1"/>
      <c r="L53" s="1"/>
      <c r="M53" s="1"/>
      <c r="P53" s="1"/>
      <c r="Q53" s="1"/>
      <c r="R53" s="1"/>
      <c r="V53" t="s">
        <v>176</v>
      </c>
      <c r="X53" t="b">
        <f>AND(ISNUMBER(D32),ISNUMBER(D34),ISNUMBER(D36))</f>
        <v>0</v>
      </c>
      <c r="AC53" s="6" t="s">
        <v>185</v>
      </c>
      <c r="AE53" s="117">
        <f>D44-L35</f>
        <v>0</v>
      </c>
    </row>
    <row r="54" spans="1:31" x14ac:dyDescent="0.2">
      <c r="A54" s="1"/>
      <c r="B54" s="2" t="s">
        <v>202</v>
      </c>
      <c r="D54" s="185" t="str">
        <f>IF(Z63=TRUE, IF(Z35=1, AE61, AE60), "")</f>
        <v/>
      </c>
      <c r="E54" s="1"/>
      <c r="F54" s="1"/>
      <c r="G54" s="1"/>
      <c r="H54" s="1"/>
      <c r="I54" s="1"/>
      <c r="J54" s="1"/>
      <c r="K54" s="1"/>
      <c r="L54" s="1"/>
      <c r="M54" s="1"/>
      <c r="P54" s="1"/>
      <c r="Q54" s="1"/>
      <c r="R54" s="1"/>
    </row>
    <row r="55" spans="1:31" x14ac:dyDescent="0.2">
      <c r="A55" s="1"/>
      <c r="B55" s="2" t="s">
        <v>203</v>
      </c>
      <c r="D55" s="185" t="str">
        <f>IF(Y71=TRUE, Y69, "")</f>
        <v/>
      </c>
      <c r="E55" s="1"/>
      <c r="F55" s="1"/>
      <c r="G55" s="1"/>
      <c r="H55" s="1"/>
      <c r="I55" s="1"/>
      <c r="J55" s="1"/>
      <c r="K55" s="1"/>
      <c r="L55" s="1"/>
      <c r="M55" s="1"/>
      <c r="P55" s="1"/>
      <c r="Q55" s="1"/>
      <c r="R55" s="1"/>
      <c r="AC55" t="s">
        <v>196</v>
      </c>
      <c r="AE55" s="117">
        <f>AVERAGE(AE50:AE53)</f>
        <v>0</v>
      </c>
    </row>
    <row r="56" spans="1:31" ht="13.5" thickBot="1" x14ac:dyDescent="0.25">
      <c r="A56" s="1"/>
      <c r="B56" s="27" t="s">
        <v>204</v>
      </c>
      <c r="C56" s="20"/>
      <c r="D56" s="186" t="str">
        <f>IF(ISNUMBER(D23), (ROUNDUP(IF(AE66=TRUE, (D23*D24)/9, ""), 0)), "")</f>
        <v/>
      </c>
      <c r="E56" s="1"/>
      <c r="F56" s="1"/>
      <c r="G56" s="1"/>
      <c r="H56" s="1"/>
      <c r="I56" s="1"/>
      <c r="J56" s="1"/>
      <c r="K56" s="1"/>
      <c r="L56" s="1"/>
      <c r="M56" s="1"/>
      <c r="P56" s="1"/>
      <c r="Q56" s="1"/>
      <c r="R56" s="1"/>
    </row>
    <row r="57" spans="1:31" ht="13.5" thickTop="1" x14ac:dyDescent="0.2">
      <c r="A57" s="1"/>
      <c r="B57" s="112" t="s">
        <v>0</v>
      </c>
      <c r="C57" s="15"/>
      <c r="D57" s="48"/>
      <c r="E57" s="1"/>
      <c r="F57" s="1"/>
      <c r="G57" s="1"/>
      <c r="I57" s="1"/>
      <c r="J57" s="1"/>
      <c r="K57" s="1"/>
      <c r="L57" s="1"/>
      <c r="M57" s="1"/>
      <c r="P57" s="1"/>
      <c r="Q57" s="1"/>
      <c r="R57" s="1"/>
      <c r="V57" s="132" t="s">
        <v>193</v>
      </c>
      <c r="Z57" t="s">
        <v>199</v>
      </c>
      <c r="AC57" t="s">
        <v>197</v>
      </c>
      <c r="AE57" t="b">
        <f>AND(ISNUMBER(D41), ISNUMBER(D42), ISNUMBER(D43), ISNUMBER(D44))</f>
        <v>0</v>
      </c>
    </row>
    <row r="58" spans="1:31" x14ac:dyDescent="0.2">
      <c r="A58" s="1"/>
      <c r="B58" s="194"/>
      <c r="C58" s="195"/>
      <c r="D58" s="196"/>
      <c r="E58" s="1"/>
      <c r="F58" s="1"/>
      <c r="G58" s="1"/>
      <c r="I58" s="1"/>
      <c r="J58" s="1"/>
      <c r="K58" s="1"/>
      <c r="L58" s="1"/>
      <c r="M58" s="1"/>
      <c r="P58" s="1"/>
      <c r="Q58" s="1"/>
      <c r="R58" s="1"/>
      <c r="V58" s="6" t="s">
        <v>194</v>
      </c>
      <c r="Y58" s="117" t="e">
        <f>(AB21+0.5)*0.1</f>
        <v>#VALUE!</v>
      </c>
      <c r="Z58" s="183" t="e">
        <f>IF(ISNUMBER(D47), ((D23*D24*D47)/3)/27, ((D23*D24*Y58)/3)/27)</f>
        <v>#VALUE!</v>
      </c>
    </row>
    <row r="59" spans="1:31" x14ac:dyDescent="0.2">
      <c r="A59" s="1"/>
      <c r="B59" s="194"/>
      <c r="C59" s="195"/>
      <c r="D59" s="196"/>
      <c r="E59" s="1"/>
      <c r="F59" s="1"/>
      <c r="G59" s="1"/>
      <c r="I59" s="1"/>
      <c r="J59" s="1"/>
      <c r="K59" s="1"/>
      <c r="L59" s="1"/>
      <c r="M59" s="1"/>
      <c r="P59" s="1"/>
      <c r="Q59" s="1"/>
      <c r="R59" s="1"/>
      <c r="V59" s="6" t="s">
        <v>195</v>
      </c>
      <c r="Y59" s="117" t="e">
        <f>(AVERAGE(D41:D44)-AB19)*0.1</f>
        <v>#DIV/0!</v>
      </c>
      <c r="Z59" s="183" t="e">
        <f>((D23*D24*Y59)/3)/27</f>
        <v>#DIV/0!</v>
      </c>
      <c r="AC59" s="132" t="s">
        <v>205</v>
      </c>
    </row>
    <row r="60" spans="1:31" x14ac:dyDescent="0.2">
      <c r="A60" s="1"/>
      <c r="B60" s="194"/>
      <c r="C60" s="195"/>
      <c r="D60" s="196"/>
      <c r="E60" s="1"/>
      <c r="F60" s="1"/>
      <c r="G60" s="1"/>
      <c r="I60" s="1"/>
      <c r="J60" s="1"/>
      <c r="K60" s="1"/>
      <c r="L60" s="1"/>
      <c r="M60" s="1"/>
      <c r="P60" s="1"/>
      <c r="Q60" s="1"/>
      <c r="R60" s="1"/>
      <c r="V60" s="6" t="s">
        <v>200</v>
      </c>
      <c r="Y60" s="184" t="e">
        <f>ROUNDUP(((D23*D24*D26)/27)+Z58, 0)</f>
        <v>#VALUE!</v>
      </c>
      <c r="AC60" t="s">
        <v>206</v>
      </c>
      <c r="AE60" t="e">
        <f>ROUNDUP((D23+(2*D26))*(D24+(2*D26))/9, 0)</f>
        <v>#VALUE!</v>
      </c>
    </row>
    <row r="61" spans="1:31" x14ac:dyDescent="0.2">
      <c r="A61" s="1"/>
      <c r="B61" s="194"/>
      <c r="C61" s="195"/>
      <c r="D61" s="196"/>
      <c r="J61" s="1"/>
      <c r="K61" s="1"/>
      <c r="L61" s="1"/>
      <c r="M61" s="1"/>
      <c r="P61" s="1"/>
      <c r="Q61" s="1"/>
      <c r="R61" s="1"/>
      <c r="V61" s="6" t="s">
        <v>201</v>
      </c>
      <c r="Y61" s="184" t="e">
        <f>ROUNDUP(((D23*D24*AE55)/27)+Z59, 0)</f>
        <v>#DIV/0!</v>
      </c>
      <c r="AC61" t="s">
        <v>207</v>
      </c>
      <c r="AE61">
        <f>ROUNDUP((D23+(2*AE55))*(D24+(2*AE55))/9, 0)</f>
        <v>0</v>
      </c>
    </row>
    <row r="62" spans="1:31" x14ac:dyDescent="0.2">
      <c r="A62" s="1"/>
      <c r="B62" s="194"/>
      <c r="C62" s="195"/>
      <c r="D62" s="196"/>
      <c r="J62" s="1"/>
      <c r="K62" s="1"/>
      <c r="L62" s="1"/>
      <c r="M62" s="1"/>
      <c r="P62" s="1"/>
    </row>
    <row r="63" spans="1:31" x14ac:dyDescent="0.2">
      <c r="A63" s="1"/>
      <c r="B63" s="194"/>
      <c r="C63" s="195"/>
      <c r="D63" s="196"/>
      <c r="J63" s="1"/>
      <c r="K63" s="1"/>
      <c r="L63" s="1"/>
      <c r="M63" s="1"/>
      <c r="P63" s="1"/>
      <c r="V63" t="s">
        <v>212</v>
      </c>
      <c r="Z63" t="b">
        <f>AND(ISNUMBER(D23), ISNUMBER(D24), ISNUMBER(Z58), ISNUMBER(Z59))</f>
        <v>0</v>
      </c>
    </row>
    <row r="64" spans="1:31" ht="13.5" thickBot="1" x14ac:dyDescent="0.25">
      <c r="A64" s="1"/>
      <c r="B64" s="197"/>
      <c r="C64" s="198"/>
      <c r="D64" s="199"/>
    </row>
    <row r="65" spans="22:31" ht="13.5" thickTop="1" x14ac:dyDescent="0.2">
      <c r="V65" s="132" t="s">
        <v>208</v>
      </c>
      <c r="AC65" s="132" t="s">
        <v>213</v>
      </c>
    </row>
    <row r="66" spans="22:31" x14ac:dyDescent="0.2">
      <c r="V66" t="s">
        <v>211</v>
      </c>
      <c r="Y66" s="117" t="e">
        <f>ROUND(AVERAGE(D41:D44), 1)</f>
        <v>#DIV/0!</v>
      </c>
      <c r="AC66" s="6" t="s">
        <v>212</v>
      </c>
      <c r="AE66" t="b">
        <f>AND(ISNUMBER(D23), ISNUMBER(D24))</f>
        <v>0</v>
      </c>
    </row>
    <row r="67" spans="22:31" x14ac:dyDescent="0.2">
      <c r="V67" t="s">
        <v>209</v>
      </c>
      <c r="Y67" s="183" t="e">
        <f>((Y66-AD21+0.5)*D23*D24)/27</f>
        <v>#DIV/0!</v>
      </c>
    </row>
    <row r="68" spans="22:31" x14ac:dyDescent="0.2">
      <c r="V68" s="6" t="s">
        <v>210</v>
      </c>
      <c r="Y68" s="183">
        <f>IF(ISNUMBER(D50), ((D50*D23*D24)/3)/27, ((D49*D23*D24)/3)/27)</f>
        <v>0</v>
      </c>
    </row>
    <row r="69" spans="22:31" x14ac:dyDescent="0.2">
      <c r="V69" s="6" t="s">
        <v>198</v>
      </c>
      <c r="Y69" s="184" t="e">
        <f>ROUNDUP(Y67+Y68, 0)</f>
        <v>#DIV/0!</v>
      </c>
    </row>
    <row r="71" spans="22:31" x14ac:dyDescent="0.2">
      <c r="V71" t="s">
        <v>212</v>
      </c>
      <c r="Y71" t="b">
        <f>AND(ISNUMBER(D23), ISNUMBER(D24), ISNUMBER(Y68), ISNUMBER(Y69), ISNUMBER(D41))</f>
        <v>0</v>
      </c>
    </row>
  </sheetData>
  <sheetProtection algorithmName="SHA-512" hashValue="yoXNupTZx/u4YOK9Rzd7huSOCTd2rfWhpwMqdxNKhZ6baMM34uGr9jevVZuNazRS0C0Wl3K93hW+ZgYkjNKFDA==" saltValue="sCsgPDPhwC6B3m9z+UdKlg==" spinCount="100000" sheet="1"/>
  <mergeCells count="12">
    <mergeCell ref="B58:D64"/>
    <mergeCell ref="J12:L12"/>
    <mergeCell ref="C12:D12"/>
    <mergeCell ref="P11:R11"/>
    <mergeCell ref="I3:J3"/>
    <mergeCell ref="I4:J4"/>
    <mergeCell ref="F3:G3"/>
    <mergeCell ref="F4:G4"/>
    <mergeCell ref="E23:F23"/>
    <mergeCell ref="E24:F26"/>
    <mergeCell ref="M12:N12"/>
    <mergeCell ref="B38:D38"/>
  </mergeCells>
  <phoneticPr fontId="22" type="noConversion"/>
  <conditionalFormatting sqref="D32">
    <cfRule type="expression" dxfId="26" priority="1">
      <formula>AND(OR($D$32&lt;20,D32&gt;85), $D$34&gt;3, $D$36&gt;100)</formula>
    </cfRule>
    <cfRule type="expression" dxfId="25" priority="4">
      <formula>AND($D$32&gt;20,D32&lt;85)</formula>
    </cfRule>
    <cfRule type="expression" dxfId="24" priority="24">
      <formula>OR($D$32&lt;20,$D$32&gt;85)</formula>
    </cfRule>
  </conditionalFormatting>
  <conditionalFormatting sqref="D36">
    <cfRule type="expression" dxfId="23" priority="2">
      <formula>AND($D$34&gt;3, $D$36&gt;100)</formula>
    </cfRule>
    <cfRule type="expression" dxfId="22" priority="9" stopIfTrue="1">
      <formula>AND(OR($D$32&lt;20, D32&gt;85), OR(D34&lt;3, D36&lt;100))</formula>
    </cfRule>
    <cfRule type="expression" dxfId="21" priority="22" stopIfTrue="1">
      <formula>AND((OR($D$32&gt;20,D32&lt;85)), OR(D34&lt;3, D36&lt;100))</formula>
    </cfRule>
  </conditionalFormatting>
  <conditionalFormatting sqref="D34">
    <cfRule type="expression" dxfId="20" priority="3">
      <formula>AND($D$34&gt;3, $D$36&gt;100)</formula>
    </cfRule>
    <cfRule type="expression" dxfId="19" priority="5">
      <formula>AND(OR($D$32&lt;20, D32&gt;85), OR(D34&lt;3, D36&lt;100))</formula>
    </cfRule>
    <cfRule type="expression" dxfId="18" priority="11">
      <formula>AND((OR($D$32&gt;20,D32&lt;85)), OR(D34&lt;3, D36&lt;100))</formula>
    </cfRule>
  </conditionalFormatting>
  <conditionalFormatting sqref="D24">
    <cfRule type="expression" dxfId="17" priority="21">
      <formula>$D$23/$D$24&lt;4</formula>
    </cfRule>
  </conditionalFormatting>
  <conditionalFormatting sqref="I9">
    <cfRule type="expression" dxfId="16" priority="20">
      <formula>$I$9&lt;=0</formula>
    </cfRule>
  </conditionalFormatting>
  <conditionalFormatting sqref="G24">
    <cfRule type="expression" dxfId="15" priority="18">
      <formula>$G$24&gt;$H$18-$AB$35-0.5</formula>
    </cfRule>
  </conditionalFormatting>
  <conditionalFormatting sqref="H35">
    <cfRule type="expression" dxfId="14" priority="17">
      <formula>$AC$45=1</formula>
    </cfRule>
  </conditionalFormatting>
  <conditionalFormatting sqref="G21">
    <cfRule type="expression" dxfId="13" priority="26">
      <formula>$G$33+$G$21&lt;$H$18+0.5</formula>
    </cfRule>
  </conditionalFormatting>
  <conditionalFormatting sqref="B38:D38">
    <cfRule type="containsText" dxfId="12" priority="8" operator="containsText" text="ALL CRITERIA MET">
      <formula>NOT(ISERROR(SEARCH("ALL CRITERIA MET",B38)))</formula>
    </cfRule>
    <cfRule type="containsText" dxfId="11" priority="14" operator="containsText" text="CAPACITY AND RETENTION TIME MET">
      <formula>NOT(ISERROR(SEARCH("CAPACITY AND RETENTION TIME MET",B38)))</formula>
    </cfRule>
    <cfRule type="containsText" dxfId="10" priority="15" operator="containsText" text="NITRATE REDUCTION MET">
      <formula>NOT(ISERROR(SEARCH("NITRATE REDUCTION MET",B38)))</formula>
    </cfRule>
    <cfRule type="containsText" dxfId="9" priority="16" operator="containsText" text="STANDARD NOT MET">
      <formula>NOT(ISERROR(SEARCH("STANDARD NOT MET",B38)))</formula>
    </cfRule>
  </conditionalFormatting>
  <printOptions horizontalCentered="1" verticalCentered="1"/>
  <pageMargins left="0.25" right="0.25" top="0.75" bottom="0.75" header="0.3" footer="0.3"/>
  <pageSetup scale="6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7" r:id="rId4" name="Drop Down 3">
              <controlPr defaultSize="0" autoLine="0" autoPict="0">
                <anchor moveWithCells="1">
                  <from>
                    <xdr:col>2</xdr:col>
                    <xdr:colOff>1771650</xdr:colOff>
                    <xdr:row>10</xdr:row>
                    <xdr:rowOff>38100</xdr:rowOff>
                  </from>
                  <to>
                    <xdr:col>3</xdr:col>
                    <xdr:colOff>628650</xdr:colOff>
                    <xdr:row>10</xdr:row>
                    <xdr:rowOff>276225</xdr:rowOff>
                  </to>
                </anchor>
              </controlPr>
            </control>
          </mc:Choice>
        </mc:AlternateContent>
        <mc:AlternateContent xmlns:mc="http://schemas.openxmlformats.org/markup-compatibility/2006">
          <mc:Choice Requires="x14">
            <control shapeId="1030" r:id="rId5" name="Drop Down 6">
              <controlPr defaultSize="0" autoLine="0" autoPict="0">
                <anchor moveWithCells="1">
                  <from>
                    <xdr:col>2</xdr:col>
                    <xdr:colOff>2076450</xdr:colOff>
                    <xdr:row>8</xdr:row>
                    <xdr:rowOff>19050</xdr:rowOff>
                  </from>
                  <to>
                    <xdr:col>3</xdr:col>
                    <xdr:colOff>628650</xdr:colOff>
                    <xdr:row>9</xdr:row>
                    <xdr:rowOff>0</xdr:rowOff>
                  </to>
                </anchor>
              </controlPr>
            </control>
          </mc:Choice>
        </mc:AlternateContent>
        <mc:AlternateContent xmlns:mc="http://schemas.openxmlformats.org/markup-compatibility/2006">
          <mc:Choice Requires="x14">
            <control shapeId="1043" r:id="rId6" name="Drop Down 19">
              <controlPr defaultSize="0" autoLine="0" autoPict="0">
                <anchor moveWithCells="1">
                  <from>
                    <xdr:col>2</xdr:col>
                    <xdr:colOff>1828800</xdr:colOff>
                    <xdr:row>17</xdr:row>
                    <xdr:rowOff>28575</xdr:rowOff>
                  </from>
                  <to>
                    <xdr:col>3</xdr:col>
                    <xdr:colOff>704850</xdr:colOff>
                    <xdr:row>18</xdr:row>
                    <xdr:rowOff>28575</xdr:rowOff>
                  </to>
                </anchor>
              </controlPr>
            </control>
          </mc:Choice>
        </mc:AlternateContent>
        <mc:AlternateContent xmlns:mc="http://schemas.openxmlformats.org/markup-compatibility/2006">
          <mc:Choice Requires="x14">
            <control shapeId="1088" r:id="rId7" name="Drop Down 64">
              <controlPr defaultSize="0" autoLine="0" autoPict="0">
                <anchor moveWithCells="1">
                  <from>
                    <xdr:col>2</xdr:col>
                    <xdr:colOff>2286000</xdr:colOff>
                    <xdr:row>17</xdr:row>
                    <xdr:rowOff>38100</xdr:rowOff>
                  </from>
                  <to>
                    <xdr:col>3</xdr:col>
                    <xdr:colOff>885825</xdr:colOff>
                    <xdr:row>18</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G64"/>
  <sheetViews>
    <sheetView showGridLines="0" zoomScaleNormal="100" zoomScalePageLayoutView="75" workbookViewId="0">
      <selection activeCell="C3" sqref="C3"/>
    </sheetView>
  </sheetViews>
  <sheetFormatPr defaultColWidth="9.140625" defaultRowHeight="12.75" x14ac:dyDescent="0.2"/>
  <cols>
    <col min="1" max="1" width="2.85546875" customWidth="1"/>
    <col min="2" max="2" width="14.85546875" customWidth="1"/>
    <col min="3" max="3" width="32.85546875" customWidth="1"/>
    <col min="4" max="4" width="10.7109375" customWidth="1"/>
    <col min="5" max="5" width="8.42578125" customWidth="1"/>
    <col min="6" max="6" width="10.7109375" customWidth="1"/>
    <col min="7" max="7" width="12.42578125" customWidth="1"/>
    <col min="8" max="8" width="13.28515625" customWidth="1"/>
    <col min="12" max="12" width="14" customWidth="1"/>
    <col min="13" max="15" width="14.140625" customWidth="1"/>
    <col min="16" max="16" width="9.85546875" customWidth="1"/>
    <col min="17" max="17" width="9.5703125" customWidth="1"/>
    <col min="21" max="21" width="9.140625" customWidth="1"/>
    <col min="22" max="33" width="9.140625" hidden="1" customWidth="1"/>
    <col min="34" max="34" width="0" hidden="1" customWidth="1"/>
  </cols>
  <sheetData>
    <row r="1" spans="1:27" ht="47.25" customHeight="1" x14ac:dyDescent="0.2"/>
    <row r="2" spans="1:27" ht="32.25" customHeight="1" x14ac:dyDescent="0.2">
      <c r="B2" s="9" t="s">
        <v>8</v>
      </c>
      <c r="C2" s="10"/>
      <c r="D2" s="10"/>
      <c r="E2" s="10" t="str">
        <f>Info!A1</f>
        <v>IaDenitrifyingBioreactor.xlsx</v>
      </c>
      <c r="F2" s="10"/>
      <c r="H2" s="130"/>
      <c r="I2" s="130"/>
      <c r="J2" s="130"/>
      <c r="K2" s="147" t="str">
        <f>Info!A2</f>
        <v>Version 3.1</v>
      </c>
      <c r="L2" s="10"/>
    </row>
    <row r="3" spans="1:27" ht="15.75" x14ac:dyDescent="0.25">
      <c r="B3" s="11" t="s">
        <v>12</v>
      </c>
      <c r="C3" s="8" t="s">
        <v>91</v>
      </c>
      <c r="E3" s="12" t="s">
        <v>9</v>
      </c>
      <c r="F3" s="221"/>
      <c r="G3" s="221"/>
      <c r="H3" s="13" t="s">
        <v>10</v>
      </c>
      <c r="I3" s="222"/>
      <c r="J3" s="222"/>
    </row>
    <row r="4" spans="1:27" ht="15.95" customHeight="1" x14ac:dyDescent="0.25">
      <c r="A4" s="1"/>
      <c r="B4" s="11" t="s">
        <v>13</v>
      </c>
      <c r="C4" s="8"/>
      <c r="E4" s="12" t="s">
        <v>11</v>
      </c>
      <c r="F4" s="206"/>
      <c r="G4" s="206"/>
      <c r="H4" s="13" t="s">
        <v>10</v>
      </c>
      <c r="I4" s="206"/>
      <c r="J4" s="206"/>
      <c r="L4" s="1"/>
    </row>
    <row r="5" spans="1:27" ht="15.95" customHeight="1" x14ac:dyDescent="0.25">
      <c r="A5" s="1"/>
      <c r="B5" s="11" t="s">
        <v>14</v>
      </c>
      <c r="C5" s="8"/>
      <c r="E5" s="13"/>
      <c r="Q5" s="1"/>
      <c r="R5" s="1"/>
      <c r="Z5" s="6" t="s">
        <v>37</v>
      </c>
    </row>
    <row r="6" spans="1:27" ht="15.95" customHeight="1" x14ac:dyDescent="0.25">
      <c r="A6" s="1"/>
      <c r="C6" s="11"/>
      <c r="D6" s="13"/>
      <c r="E6" s="13"/>
      <c r="V6" s="7">
        <v>1</v>
      </c>
      <c r="Z6" s="6">
        <f>IF(D14&gt;0,D14*0.15,10000)</f>
        <v>7.3140203966387388E-2</v>
      </c>
      <c r="AA6" s="6" t="s">
        <v>43</v>
      </c>
    </row>
    <row r="7" spans="1:27" ht="15.75" thickBot="1" x14ac:dyDescent="0.25">
      <c r="B7" s="23" t="s">
        <v>42</v>
      </c>
      <c r="J7" s="23"/>
      <c r="V7">
        <v>1</v>
      </c>
      <c r="W7" s="6" t="s">
        <v>15</v>
      </c>
      <c r="Z7">
        <f>IF(I11&gt;0,I11*0.15,10000)</f>
        <v>2.5996093750000001E-2</v>
      </c>
      <c r="AA7" s="6" t="s">
        <v>44</v>
      </c>
    </row>
    <row r="8" spans="1:27" ht="13.5" thickTop="1" x14ac:dyDescent="0.2">
      <c r="B8" s="24" t="s">
        <v>33</v>
      </c>
      <c r="C8" s="15"/>
      <c r="D8" s="15"/>
      <c r="E8" s="15"/>
      <c r="F8" s="25" t="s">
        <v>34</v>
      </c>
      <c r="G8" s="15"/>
      <c r="H8" s="15"/>
      <c r="I8" s="48"/>
      <c r="J8" s="223"/>
      <c r="K8" s="223"/>
      <c r="L8" s="223"/>
      <c r="V8">
        <v>2</v>
      </c>
      <c r="W8" s="6" t="s">
        <v>16</v>
      </c>
      <c r="Z8">
        <f>IF(I14&gt;0,I14*0.15,10000)</f>
        <v>10000</v>
      </c>
      <c r="AA8" s="6" t="s">
        <v>45</v>
      </c>
    </row>
    <row r="9" spans="1:27" ht="20.100000000000001" customHeight="1" x14ac:dyDescent="0.2">
      <c r="B9" s="29" t="s">
        <v>25</v>
      </c>
      <c r="C9" s="30"/>
      <c r="D9" s="31"/>
      <c r="F9" s="35" t="s">
        <v>28</v>
      </c>
      <c r="G9" s="30"/>
      <c r="H9" s="30"/>
      <c r="I9" s="18">
        <v>11</v>
      </c>
      <c r="J9" s="223"/>
      <c r="K9" s="223"/>
      <c r="L9" s="223"/>
      <c r="V9">
        <v>3</v>
      </c>
      <c r="W9" s="6" t="s">
        <v>23</v>
      </c>
      <c r="Z9">
        <f>IF(K10&gt;0,K10,10000)</f>
        <v>10000</v>
      </c>
      <c r="AA9" s="6" t="s">
        <v>46</v>
      </c>
    </row>
    <row r="10" spans="1:27" ht="20.100000000000001" customHeight="1" x14ac:dyDescent="0.2">
      <c r="B10" s="2" t="s">
        <v>26</v>
      </c>
      <c r="D10" s="32">
        <v>1</v>
      </c>
      <c r="F10" s="36" t="s">
        <v>29</v>
      </c>
      <c r="I10" s="18">
        <v>0.375</v>
      </c>
      <c r="J10" s="6"/>
      <c r="K10" s="118"/>
      <c r="L10" s="16"/>
      <c r="Z10">
        <f>MIN(Z6:Z9)</f>
        <v>2.5996093750000001E-2</v>
      </c>
    </row>
    <row r="11" spans="1:27" ht="27.75" customHeight="1" x14ac:dyDescent="0.2">
      <c r="B11" s="2" t="s">
        <v>27</v>
      </c>
      <c r="C11" s="6"/>
      <c r="D11" s="33"/>
      <c r="F11" s="37" t="s">
        <v>30</v>
      </c>
      <c r="G11" s="38"/>
      <c r="H11" s="38"/>
      <c r="I11" s="39">
        <f>I9*I10*43560/12/24/3600</f>
        <v>0.17330729166666667</v>
      </c>
      <c r="J11" s="9"/>
      <c r="P11" s="204"/>
      <c r="Q11" s="204"/>
      <c r="R11" s="204"/>
    </row>
    <row r="12" spans="1:27" ht="15.75" customHeight="1" x14ac:dyDescent="0.2">
      <c r="B12" s="2"/>
      <c r="C12" s="202">
        <f>IF(V6=2,0.012,IF(V6=3, 0.013,Y14))</f>
        <v>1.4999999999999999E-2</v>
      </c>
      <c r="D12" s="203"/>
      <c r="I12" s="17"/>
      <c r="J12" s="224"/>
      <c r="K12" s="225"/>
      <c r="L12" s="225"/>
    </row>
    <row r="13" spans="1:27" ht="15" customHeight="1" x14ac:dyDescent="0.2">
      <c r="B13" s="2" t="s">
        <v>32</v>
      </c>
      <c r="D13" s="34">
        <f>1.49*(D10/100)^0.5*((Z14/12/4)^(2/3))/C12</f>
        <v>2.4833333333333338</v>
      </c>
      <c r="F13" s="26" t="s">
        <v>36</v>
      </c>
      <c r="I13" s="17"/>
      <c r="X13" s="6" t="s">
        <v>17</v>
      </c>
      <c r="Y13" s="41" t="s">
        <v>18</v>
      </c>
      <c r="Z13" s="41" t="s">
        <v>19</v>
      </c>
      <c r="AA13" s="41" t="s">
        <v>20</v>
      </c>
    </row>
    <row r="14" spans="1:27" ht="24.75" customHeight="1" thickBot="1" x14ac:dyDescent="0.25">
      <c r="B14" s="52" t="s">
        <v>31</v>
      </c>
      <c r="C14" s="49"/>
      <c r="D14" s="53">
        <f>+D13*PI()*(Z14/2/12)^2</f>
        <v>0.4876013597759159</v>
      </c>
      <c r="E14" s="49"/>
      <c r="F14" s="54" t="s">
        <v>35</v>
      </c>
      <c r="G14" s="55"/>
      <c r="H14" s="55"/>
      <c r="I14" s="56"/>
      <c r="V14" s="6" t="s">
        <v>15</v>
      </c>
      <c r="X14" s="7">
        <v>3</v>
      </c>
      <c r="Y14" s="42">
        <f>INDEX(X19:X27,X14)</f>
        <v>1.4999999999999999E-2</v>
      </c>
      <c r="Z14" s="42">
        <f>INDEX(V19:V27,X14)</f>
        <v>6</v>
      </c>
      <c r="AA14" s="42">
        <f>INDEX(Y19:Y27,X14)</f>
        <v>1</v>
      </c>
    </row>
    <row r="15" spans="1:27" ht="13.5" thickTop="1" x14ac:dyDescent="0.2">
      <c r="B15" s="14"/>
      <c r="C15" s="15"/>
      <c r="D15" s="57"/>
      <c r="E15" s="15"/>
      <c r="F15" s="15"/>
      <c r="G15" s="15"/>
      <c r="H15" s="15"/>
      <c r="I15" s="48"/>
      <c r="V15" s="6"/>
      <c r="Y15" s="42"/>
      <c r="Z15" s="42"/>
      <c r="AA15" s="42"/>
    </row>
    <row r="16" spans="1:27" ht="13.5" thickBot="1" x14ac:dyDescent="0.25">
      <c r="B16" s="27" t="s">
        <v>41</v>
      </c>
      <c r="C16" s="20"/>
      <c r="D16" s="111">
        <f>IF(Z10=10000,0,Z10)</f>
        <v>2.5996093750000001E-2</v>
      </c>
      <c r="E16" s="51" t="s">
        <v>135</v>
      </c>
      <c r="F16" s="20"/>
      <c r="G16" s="20"/>
      <c r="H16" s="20"/>
      <c r="I16" s="28"/>
      <c r="V16" s="6"/>
      <c r="Y16" s="42"/>
      <c r="Z16" s="42"/>
      <c r="AA16" s="42"/>
    </row>
    <row r="17" spans="2:33" ht="24.75" customHeight="1" thickTop="1" thickBot="1" x14ac:dyDescent="0.25">
      <c r="B17" s="23" t="s">
        <v>47</v>
      </c>
      <c r="D17" s="22"/>
      <c r="V17" s="6"/>
      <c r="Y17" s="42"/>
      <c r="Z17" s="42"/>
      <c r="AA17" s="42"/>
    </row>
    <row r="18" spans="2:33" ht="19.5" customHeight="1" thickTop="1" x14ac:dyDescent="0.2">
      <c r="B18" s="14" t="s">
        <v>48</v>
      </c>
      <c r="C18" s="21"/>
      <c r="D18" s="59"/>
      <c r="E18" s="16"/>
      <c r="H18" s="126">
        <v>678.3</v>
      </c>
      <c r="I18" s="6" t="s">
        <v>120</v>
      </c>
      <c r="V18" s="43" t="s">
        <v>21</v>
      </c>
      <c r="W18" s="44"/>
      <c r="X18" s="42" t="s">
        <v>18</v>
      </c>
      <c r="Y18" s="6" t="s">
        <v>22</v>
      </c>
      <c r="AB18" t="s">
        <v>103</v>
      </c>
    </row>
    <row r="19" spans="2:33" ht="15.75" customHeight="1" x14ac:dyDescent="0.2">
      <c r="B19" s="2" t="s">
        <v>49</v>
      </c>
      <c r="C19" s="6"/>
      <c r="D19" s="58">
        <f>INDEX(W43:Y45,V39,Z35)</f>
        <v>0.53</v>
      </c>
      <c r="G19" t="s">
        <v>92</v>
      </c>
      <c r="M19" t="s">
        <v>93</v>
      </c>
      <c r="V19" s="45">
        <v>4</v>
      </c>
      <c r="W19" s="46"/>
      <c r="X19" s="47">
        <v>1.4999999999999999E-2</v>
      </c>
      <c r="Y19">
        <v>1</v>
      </c>
      <c r="AB19">
        <f>(H35+L35)/2</f>
        <v>674.2</v>
      </c>
    </row>
    <row r="20" spans="2:33" ht="15" customHeight="1" x14ac:dyDescent="0.2">
      <c r="B20" s="2" t="s">
        <v>117</v>
      </c>
      <c r="C20" s="6"/>
      <c r="D20" s="108">
        <f>AF36</f>
        <v>9.6420239136774555E-2</v>
      </c>
      <c r="G20" t="s">
        <v>94</v>
      </c>
      <c r="M20" t="s">
        <v>94</v>
      </c>
      <c r="V20" s="45">
        <v>5</v>
      </c>
      <c r="W20" s="46"/>
      <c r="X20" s="47">
        <v>1.4999999999999999E-2</v>
      </c>
      <c r="Y20">
        <v>1</v>
      </c>
      <c r="AB20" t="s">
        <v>104</v>
      </c>
      <c r="AD20" s="6" t="s">
        <v>112</v>
      </c>
    </row>
    <row r="21" spans="2:33" ht="15" customHeight="1" x14ac:dyDescent="0.2">
      <c r="B21" s="81"/>
      <c r="C21" s="6" t="s">
        <v>119</v>
      </c>
      <c r="D21" s="125"/>
      <c r="G21" s="114">
        <v>5</v>
      </c>
      <c r="L21" s="6"/>
      <c r="M21" s="115"/>
      <c r="N21" s="118"/>
      <c r="O21" s="118"/>
      <c r="V21" s="45">
        <v>6</v>
      </c>
      <c r="W21" s="46"/>
      <c r="X21" s="47">
        <v>1.4999999999999999E-2</v>
      </c>
      <c r="Y21">
        <v>1</v>
      </c>
      <c r="AB21" s="117">
        <f>AD21-AB19</f>
        <v>2.8833333333333258</v>
      </c>
      <c r="AD21">
        <f>IF(M42&gt;0,M42/12+G33,I42/12+G33)</f>
        <v>677.08333333333337</v>
      </c>
    </row>
    <row r="22" spans="2:33" ht="15" customHeight="1" x14ac:dyDescent="0.2">
      <c r="B22" s="2"/>
      <c r="C22" s="6"/>
      <c r="D22" s="58"/>
      <c r="L22" s="6"/>
      <c r="V22" s="45">
        <v>8</v>
      </c>
      <c r="W22" s="46"/>
      <c r="X22" s="47">
        <v>1.6E-2</v>
      </c>
      <c r="Y22">
        <v>1</v>
      </c>
      <c r="AB22" t="s">
        <v>105</v>
      </c>
      <c r="AD22" s="6" t="s">
        <v>112</v>
      </c>
      <c r="AF22" s="6" t="s">
        <v>113</v>
      </c>
    </row>
    <row r="23" spans="2:33" ht="15" customHeight="1" x14ac:dyDescent="0.2">
      <c r="B23" s="2" t="s">
        <v>51</v>
      </c>
      <c r="C23" s="6"/>
      <c r="D23" s="18">
        <v>40</v>
      </c>
      <c r="E23" s="208">
        <f>IF(ISNUMBER(D23/D24),D23/D24,"")</f>
        <v>4</v>
      </c>
      <c r="F23" s="209"/>
      <c r="G23" s="6" t="s">
        <v>99</v>
      </c>
      <c r="L23" s="6"/>
      <c r="V23" s="45">
        <v>10</v>
      </c>
      <c r="W23" s="46"/>
      <c r="X23" s="47">
        <v>1.7000000000000001E-2</v>
      </c>
      <c r="Y23">
        <v>1</v>
      </c>
      <c r="AB23" s="117">
        <f>AD23-AB19</f>
        <v>2.4666666666665833</v>
      </c>
      <c r="AD23">
        <f>IF(M44&gt;0,M44/12+AG24,I44/12+AG24)</f>
        <v>676.66666666666663</v>
      </c>
      <c r="AF23">
        <f>IF(M21&gt;0,M21,G21)</f>
        <v>5</v>
      </c>
    </row>
    <row r="24" spans="2:33" ht="15" customHeight="1" x14ac:dyDescent="0.2">
      <c r="B24" s="2" t="s">
        <v>50</v>
      </c>
      <c r="C24" s="6"/>
      <c r="D24" s="18">
        <v>10</v>
      </c>
      <c r="E24" s="210" t="str">
        <f>IF(ISNUMBER(D23/D24),IF(D23/D24&lt;4,"Multiple header distribution system required",""),"")</f>
        <v/>
      </c>
      <c r="F24" s="211"/>
      <c r="G24" s="116">
        <v>677.1</v>
      </c>
      <c r="V24" s="45">
        <v>12</v>
      </c>
      <c r="W24" s="46"/>
      <c r="X24" s="47">
        <v>1.7999999999999999E-2</v>
      </c>
      <c r="Y24">
        <v>1.5</v>
      </c>
      <c r="AF24" s="6" t="s">
        <v>98</v>
      </c>
      <c r="AG24">
        <f>IF(M33&gt;0,M33,G33)</f>
        <v>674</v>
      </c>
    </row>
    <row r="25" spans="2:33" ht="9" customHeight="1" x14ac:dyDescent="0.2">
      <c r="B25" s="81"/>
      <c r="E25" s="210"/>
      <c r="F25" s="211"/>
      <c r="V25" s="45">
        <v>15</v>
      </c>
      <c r="W25" s="46"/>
      <c r="X25" s="47">
        <v>1.7999999999999999E-2</v>
      </c>
      <c r="Y25">
        <v>1.5</v>
      </c>
    </row>
    <row r="26" spans="2:33" ht="15" customHeight="1" x14ac:dyDescent="0.3">
      <c r="B26" s="2" t="s">
        <v>124</v>
      </c>
      <c r="D26" s="127">
        <f>AB21+0.5</f>
        <v>3.3833333333333258</v>
      </c>
      <c r="E26" s="210"/>
      <c r="F26" s="211"/>
      <c r="M26" s="6" t="s">
        <v>100</v>
      </c>
      <c r="N26" s="6"/>
      <c r="O26" s="6"/>
      <c r="V26" s="45">
        <v>18</v>
      </c>
      <c r="W26" s="46"/>
      <c r="X26" s="47">
        <v>0.02</v>
      </c>
      <c r="Y26">
        <v>1.5</v>
      </c>
    </row>
    <row r="27" spans="2:33" ht="9.75" customHeight="1" x14ac:dyDescent="0.2">
      <c r="B27" s="2"/>
      <c r="C27" s="6"/>
      <c r="D27" s="17"/>
      <c r="V27" s="45">
        <v>21</v>
      </c>
      <c r="W27" s="46"/>
      <c r="X27" s="47">
        <v>0.02</v>
      </c>
      <c r="Y27">
        <v>1.5</v>
      </c>
      <c r="AB27" s="2" t="s">
        <v>101</v>
      </c>
      <c r="AC27" s="6"/>
      <c r="AD27" s="124">
        <f>IF(AB21&gt;0,AB21*12,"")</f>
        <v>34.599999999999909</v>
      </c>
    </row>
    <row r="28" spans="2:33" ht="15" customHeight="1" x14ac:dyDescent="0.2">
      <c r="B28" s="2" t="s">
        <v>52</v>
      </c>
      <c r="C28" s="6"/>
      <c r="D28" s="63">
        <f>IF(AC32=1,(AD27+AD28)/2/12,"")</f>
        <v>2.6749999999999545</v>
      </c>
      <c r="M28" s="116">
        <v>676.7</v>
      </c>
      <c r="N28" s="119"/>
      <c r="O28" s="119"/>
      <c r="AB28" s="2" t="s">
        <v>102</v>
      </c>
      <c r="AC28" s="6"/>
      <c r="AD28" s="62">
        <f>IF(AB23&gt;0,AB23*12,"")</f>
        <v>29.599999999999</v>
      </c>
    </row>
    <row r="29" spans="2:33" ht="15" customHeight="1" x14ac:dyDescent="0.2">
      <c r="B29" s="2" t="s">
        <v>53</v>
      </c>
      <c r="C29" s="6"/>
      <c r="D29" s="61">
        <f>IF(AC32=1,IF(D23&gt;0,(AD27-AD28)/12/D23,""),"")</f>
        <v>1.0416666666668562E-2</v>
      </c>
    </row>
    <row r="30" spans="2:33" ht="15" customHeight="1" x14ac:dyDescent="0.2">
      <c r="B30" s="2"/>
      <c r="C30" s="6"/>
      <c r="D30" s="60"/>
      <c r="N30" s="6"/>
      <c r="O30" s="6"/>
    </row>
    <row r="31" spans="2:33" ht="15" customHeight="1" x14ac:dyDescent="0.2">
      <c r="B31" s="2" t="s">
        <v>54</v>
      </c>
      <c r="C31" s="6"/>
      <c r="D31" s="62">
        <f>IF(AND(D23&gt;0,D24&gt;0),I9/(D23*D24/100),"")</f>
        <v>2.75</v>
      </c>
      <c r="G31" s="6" t="s">
        <v>92</v>
      </c>
      <c r="M31" s="6" t="s">
        <v>93</v>
      </c>
      <c r="N31" s="6"/>
      <c r="O31" s="6"/>
      <c r="V31" s="6" t="s">
        <v>62</v>
      </c>
      <c r="AC31" s="6" t="s">
        <v>114</v>
      </c>
    </row>
    <row r="32" spans="2:33" ht="15" customHeight="1" x14ac:dyDescent="0.2">
      <c r="B32" s="2" t="s">
        <v>55</v>
      </c>
      <c r="C32" s="6"/>
      <c r="D32" s="63">
        <f>IF(AND(ISNUMBER(D31),D31&gt;0),95.42/D31^0.435,"")</f>
        <v>61.451104112534622</v>
      </c>
      <c r="E32" s="16" t="s">
        <v>59</v>
      </c>
      <c r="G32" s="6" t="s">
        <v>98</v>
      </c>
      <c r="M32" s="6" t="s">
        <v>98</v>
      </c>
      <c r="N32" s="119"/>
      <c r="O32" s="119"/>
      <c r="V32" s="6" t="s">
        <v>115</v>
      </c>
      <c r="AC32">
        <f>IF(AND(G21&gt;0,G33&gt;0,H35&gt;0,L35&gt;0,G24&gt;G33,G24&lt;G33+G21,M28&lt;AG24+AF23,M28&gt;AG24),1,0)</f>
        <v>1</v>
      </c>
    </row>
    <row r="33" spans="1:32" ht="10.5" customHeight="1" x14ac:dyDescent="0.25">
      <c r="B33" s="2"/>
      <c r="C33" s="6"/>
      <c r="D33" s="17"/>
      <c r="G33" s="116">
        <v>674</v>
      </c>
      <c r="M33" s="116"/>
      <c r="V33" s="65" t="s">
        <v>63</v>
      </c>
    </row>
    <row r="34" spans="1:32" ht="15" customHeight="1" thickBot="1" x14ac:dyDescent="0.3">
      <c r="B34" s="2" t="s">
        <v>56</v>
      </c>
      <c r="C34" s="6"/>
      <c r="D34" s="62">
        <f>IF(AND(D35&gt;0,ISNUMBER(D35)),D23*D24*D28*D19/D35/(60*60),"")</f>
        <v>5.8632226843089521</v>
      </c>
      <c r="E34" s="16" t="s">
        <v>60</v>
      </c>
      <c r="S34" s="1"/>
      <c r="V34" s="65"/>
    </row>
    <row r="35" spans="1:32" ht="15" customHeight="1" thickBot="1" x14ac:dyDescent="0.25">
      <c r="B35" s="2" t="s">
        <v>57</v>
      </c>
      <c r="C35" s="6"/>
      <c r="D35" s="64">
        <f>IF(AC32=1,AF37*D29*(D24*D28),"")</f>
        <v>2.686709788447026E-2</v>
      </c>
      <c r="H35" s="116">
        <v>674.1</v>
      </c>
      <c r="L35" s="116">
        <v>674.3</v>
      </c>
      <c r="S35" s="1"/>
      <c r="V35" s="66" t="s">
        <v>64</v>
      </c>
      <c r="W35" s="67" t="s">
        <v>65</v>
      </c>
      <c r="X35" s="67" t="s">
        <v>66</v>
      </c>
      <c r="Y35" s="68" t="s">
        <v>67</v>
      </c>
      <c r="Z35" s="69">
        <v>1</v>
      </c>
      <c r="AA35" t="str">
        <f>W35</f>
        <v>No soil on top</v>
      </c>
      <c r="AB35" s="128">
        <f>IF(Z35=2,1,IF(Z35=3,2,0))</f>
        <v>0</v>
      </c>
    </row>
    <row r="36" spans="1:32" ht="15" customHeight="1" thickBot="1" x14ac:dyDescent="0.25">
      <c r="B36" s="2" t="s">
        <v>58</v>
      </c>
      <c r="C36" s="50"/>
      <c r="D36" s="110">
        <f>IF(AND(ISNUMBER(D35),D16&gt;0),D35/D16*100,"")</f>
        <v>103.35051928511474</v>
      </c>
      <c r="E36" s="16" t="s">
        <v>61</v>
      </c>
      <c r="H36" s="6" t="s">
        <v>95</v>
      </c>
      <c r="L36" s="6" t="s">
        <v>95</v>
      </c>
      <c r="S36" s="1"/>
      <c r="V36" s="70" t="s">
        <v>68</v>
      </c>
      <c r="W36" s="71">
        <f>0.97/2.54/12</f>
        <v>3.1824146981627298E-2</v>
      </c>
      <c r="X36" s="71">
        <f>0.84/2.54/12</f>
        <v>2.7559055118110232E-2</v>
      </c>
      <c r="Y36" s="72">
        <f>0.94/2.54/12</f>
        <v>3.0839895013123356E-2</v>
      </c>
      <c r="AA36" t="str">
        <f>X35</f>
        <v>1 ft of soil</v>
      </c>
      <c r="AC36" s="6" t="s">
        <v>116</v>
      </c>
      <c r="AF36">
        <f>Conductivity!AJ74/2.54/12</f>
        <v>9.6420239136774555E-2</v>
      </c>
    </row>
    <row r="37" spans="1:32" ht="12.6" customHeight="1" thickTop="1" x14ac:dyDescent="0.2">
      <c r="B37" s="112" t="s">
        <v>0</v>
      </c>
      <c r="C37" s="6"/>
      <c r="D37" s="58"/>
      <c r="H37" s="6" t="s">
        <v>96</v>
      </c>
      <c r="L37" s="6" t="s">
        <v>97</v>
      </c>
      <c r="S37" s="1"/>
      <c r="V37" s="70" t="s">
        <v>69</v>
      </c>
      <c r="W37" s="71">
        <f>0.69/2.54/12</f>
        <v>2.2637795275590549E-2</v>
      </c>
      <c r="X37" s="71">
        <f>0.61/2.54/12</f>
        <v>2.001312335958005E-2</v>
      </c>
      <c r="Y37" s="72">
        <f>0.6/2.54/12</f>
        <v>1.968503937007874E-2</v>
      </c>
      <c r="AA37" t="str">
        <f>Y35</f>
        <v>2 ft of soil</v>
      </c>
      <c r="AC37" s="6" t="s">
        <v>118</v>
      </c>
      <c r="AF37">
        <f>IF(D21&gt;0,D21,AF36)</f>
        <v>9.6420239136774555E-2</v>
      </c>
    </row>
    <row r="38" spans="1:32" ht="15" customHeight="1" thickBot="1" x14ac:dyDescent="0.25">
      <c r="B38" s="215" t="s">
        <v>122</v>
      </c>
      <c r="C38" s="216"/>
      <c r="D38" s="217"/>
      <c r="G38" s="129" t="str">
        <f>IF(AC45=1,"Bioreactor chamber will not drain properly.  Please correct.","")</f>
        <v/>
      </c>
      <c r="S38" s="1"/>
      <c r="V38" s="73" t="s">
        <v>70</v>
      </c>
      <c r="W38" s="74">
        <f>0.69/2.54/12</f>
        <v>2.2637795275590549E-2</v>
      </c>
      <c r="X38" s="74">
        <f>0.59/2.54/12</f>
        <v>1.9356955380577426E-2</v>
      </c>
      <c r="Y38" s="75">
        <f>0.53/2.54/12</f>
        <v>1.7388451443569555E-2</v>
      </c>
    </row>
    <row r="39" spans="1:32" ht="15" customHeight="1" thickBot="1" x14ac:dyDescent="0.25">
      <c r="B39" s="215"/>
      <c r="C39" s="216"/>
      <c r="D39" s="217"/>
      <c r="F39" s="159" t="s">
        <v>157</v>
      </c>
      <c r="G39" s="160">
        <f>D23*D24*D26/27</f>
        <v>50.123456790123342</v>
      </c>
      <c r="H39" s="6" t="s">
        <v>156</v>
      </c>
      <c r="S39" s="1"/>
      <c r="V39" s="69">
        <v>3</v>
      </c>
    </row>
    <row r="40" spans="1:32" ht="15" customHeight="1" x14ac:dyDescent="0.2">
      <c r="B40" s="215"/>
      <c r="C40" s="216"/>
      <c r="D40" s="217"/>
      <c r="E40" s="19"/>
      <c r="G40" s="40" t="s">
        <v>106</v>
      </c>
      <c r="M40" s="6" t="s">
        <v>109</v>
      </c>
      <c r="S40" s="1"/>
    </row>
    <row r="41" spans="1:32" ht="15" customHeight="1" thickBot="1" x14ac:dyDescent="0.25">
      <c r="B41" s="215"/>
      <c r="C41" s="216"/>
      <c r="D41" s="217"/>
      <c r="H41" s="120" t="s">
        <v>107</v>
      </c>
      <c r="I41" s="121">
        <f>IF(AC32=1,ROUND((G33+G21-G24)*12,0),"")</f>
        <v>23</v>
      </c>
      <c r="J41" s="122" t="s">
        <v>110</v>
      </c>
      <c r="M41" s="42" t="str">
        <f>IF(AC32=1,IF(M42&gt;0,G21*12-M42,""),"")</f>
        <v/>
      </c>
      <c r="V41" s="76" t="s">
        <v>71</v>
      </c>
    </row>
    <row r="42" spans="1:32" ht="15" customHeight="1" x14ac:dyDescent="0.2">
      <c r="B42" s="215"/>
      <c r="C42" s="216"/>
      <c r="D42" s="217"/>
      <c r="I42" s="42">
        <f>IF(AC32=1,G21*12-I41,"")</f>
        <v>37</v>
      </c>
      <c r="J42" s="122" t="s">
        <v>111</v>
      </c>
      <c r="K42" s="1"/>
      <c r="L42" s="1"/>
      <c r="M42" s="113"/>
      <c r="P42" s="1"/>
      <c r="Q42" s="1"/>
      <c r="R42" s="1"/>
      <c r="V42" s="66" t="s">
        <v>64</v>
      </c>
      <c r="W42" s="67" t="s">
        <v>65</v>
      </c>
      <c r="X42" s="67" t="s">
        <v>66</v>
      </c>
      <c r="Y42" s="68" t="s">
        <v>67</v>
      </c>
      <c r="AC42" s="6" t="s">
        <v>121</v>
      </c>
    </row>
    <row r="43" spans="1:32" ht="15" customHeight="1" x14ac:dyDescent="0.2">
      <c r="B43" s="215"/>
      <c r="C43" s="216"/>
      <c r="D43" s="217"/>
      <c r="E43" s="16"/>
      <c r="H43" s="120" t="s">
        <v>108</v>
      </c>
      <c r="I43" s="121">
        <f>IF(AC32=1,ROUND((AG24+AF23-M28)*12,0),"")</f>
        <v>28</v>
      </c>
      <c r="J43" s="122" t="s">
        <v>110</v>
      </c>
      <c r="K43" s="1"/>
      <c r="L43" s="1"/>
      <c r="M43" s="123" t="str">
        <f>IF(AC32=1,IF(M44&gt;0,AF23*12-M44,""),"")</f>
        <v/>
      </c>
      <c r="P43" s="1"/>
      <c r="Q43" s="1"/>
      <c r="R43" s="1"/>
      <c r="V43" s="70" t="s">
        <v>68</v>
      </c>
      <c r="W43" s="77">
        <v>0.59</v>
      </c>
      <c r="X43" s="77">
        <v>0.55000000000000004</v>
      </c>
      <c r="Y43" s="78">
        <v>0.54</v>
      </c>
      <c r="AC43">
        <f>IF(AND(ISBLANK(M21),ISBLANK(M33)),2,1)</f>
        <v>2</v>
      </c>
    </row>
    <row r="44" spans="1:32" ht="15" customHeight="1" thickBot="1" x14ac:dyDescent="0.25">
      <c r="A44" s="1"/>
      <c r="B44" s="218"/>
      <c r="C44" s="219"/>
      <c r="D44" s="220"/>
      <c r="I44" s="42">
        <f>IF(AC32=1,AF23*12-I43,"")</f>
        <v>32</v>
      </c>
      <c r="J44" s="122" t="s">
        <v>111</v>
      </c>
      <c r="M44" s="113"/>
      <c r="Q44" s="1"/>
      <c r="R44" s="1"/>
      <c r="V44" s="70" t="s">
        <v>69</v>
      </c>
      <c r="W44" s="77">
        <v>0.64</v>
      </c>
      <c r="X44" s="77">
        <v>0.6</v>
      </c>
      <c r="Y44" s="78">
        <v>0.59</v>
      </c>
      <c r="AC44" s="6" t="s">
        <v>123</v>
      </c>
    </row>
    <row r="45" spans="1:32" ht="14.25" thickTop="1" thickBot="1" x14ac:dyDescent="0.25">
      <c r="A45" s="1"/>
      <c r="B45" s="1"/>
      <c r="C45" s="1"/>
      <c r="D45" s="1"/>
      <c r="E45" s="1"/>
      <c r="F45" s="1"/>
      <c r="G45" s="1"/>
      <c r="H45" s="1"/>
      <c r="I45" s="1"/>
      <c r="J45" s="1"/>
      <c r="K45" s="1"/>
      <c r="L45" s="1"/>
      <c r="M45" s="1"/>
      <c r="P45" s="1"/>
      <c r="Q45" s="1"/>
      <c r="R45" s="1"/>
      <c r="V45" s="73" t="s">
        <v>70</v>
      </c>
      <c r="W45" s="79">
        <v>0.53</v>
      </c>
      <c r="X45" s="79">
        <v>0.47</v>
      </c>
      <c r="Y45" s="80">
        <v>0.47</v>
      </c>
      <c r="AC45">
        <f>IF(AND(AC43=1,H35&gt;L35,L35&gt;M33),0,IF(AND(AC43=2,L35&gt;H35,H35&gt;G33),0,1))</f>
        <v>0</v>
      </c>
    </row>
    <row r="46" spans="1:32" ht="13.5" thickBot="1" x14ac:dyDescent="0.25">
      <c r="A46" s="1"/>
      <c r="B46" s="1"/>
      <c r="C46" s="1"/>
      <c r="D46" s="1"/>
      <c r="E46" s="1"/>
      <c r="F46" s="1"/>
      <c r="G46" s="1"/>
      <c r="H46" s="1"/>
      <c r="I46" s="1"/>
      <c r="J46" s="1"/>
      <c r="K46" s="1"/>
      <c r="L46" s="1"/>
      <c r="M46" s="1"/>
      <c r="P46" s="1"/>
      <c r="Q46" s="1"/>
      <c r="R46" s="1"/>
      <c r="V46" s="69">
        <v>3</v>
      </c>
    </row>
    <row r="47" spans="1:32" x14ac:dyDescent="0.2">
      <c r="A47" s="1"/>
      <c r="B47" s="1"/>
      <c r="C47" s="1"/>
      <c r="D47" s="1"/>
      <c r="E47" s="1"/>
      <c r="F47" s="1"/>
      <c r="G47" s="1"/>
      <c r="H47" s="1"/>
      <c r="I47" s="1"/>
      <c r="J47" s="1"/>
      <c r="K47" s="1"/>
      <c r="L47" s="1"/>
      <c r="M47" s="1"/>
      <c r="P47" s="1"/>
      <c r="Q47" s="1"/>
      <c r="R47" s="1"/>
    </row>
    <row r="48" spans="1:32" x14ac:dyDescent="0.2">
      <c r="A48" s="1"/>
      <c r="B48" s="1"/>
      <c r="C48" s="1"/>
      <c r="D48" s="1"/>
      <c r="E48" s="1"/>
      <c r="F48" s="1"/>
      <c r="G48" s="1"/>
      <c r="H48" s="1"/>
      <c r="I48" s="1"/>
      <c r="J48" s="1"/>
      <c r="K48" s="1"/>
      <c r="L48" s="1"/>
      <c r="M48" s="1"/>
      <c r="P48" s="1"/>
      <c r="Q48" s="1"/>
      <c r="R48" s="1"/>
    </row>
    <row r="49" spans="1:18" x14ac:dyDescent="0.2">
      <c r="A49" s="1"/>
      <c r="B49" s="1"/>
      <c r="C49" s="1"/>
      <c r="D49" s="1"/>
      <c r="E49" s="1"/>
      <c r="F49" s="1"/>
      <c r="G49" s="1"/>
      <c r="H49" s="1"/>
      <c r="I49" s="1"/>
      <c r="J49" s="1"/>
      <c r="K49" s="1"/>
      <c r="L49" s="1"/>
      <c r="M49" s="1"/>
      <c r="P49" s="1"/>
      <c r="Q49" s="1"/>
      <c r="R49" s="1"/>
    </row>
    <row r="50" spans="1:18" x14ac:dyDescent="0.2">
      <c r="A50" s="1"/>
      <c r="B50" s="1"/>
      <c r="C50" s="1"/>
      <c r="D50" s="1"/>
      <c r="E50" s="1"/>
      <c r="F50" s="1"/>
      <c r="G50" s="1"/>
      <c r="H50" s="1"/>
      <c r="I50" s="1"/>
      <c r="J50" s="1"/>
      <c r="K50" s="1"/>
      <c r="L50" s="1"/>
      <c r="M50" s="1"/>
      <c r="P50" s="1"/>
      <c r="Q50" s="1"/>
      <c r="R50" s="1"/>
    </row>
    <row r="51" spans="1:18" x14ac:dyDescent="0.2">
      <c r="A51" s="1"/>
      <c r="B51" s="1"/>
      <c r="C51" s="1"/>
      <c r="D51" s="1"/>
      <c r="E51" s="1"/>
      <c r="F51" s="1"/>
      <c r="G51" s="1"/>
      <c r="H51" s="1"/>
      <c r="I51" s="1"/>
      <c r="J51" s="1"/>
      <c r="K51" s="1"/>
      <c r="L51" s="1"/>
      <c r="M51" s="1"/>
      <c r="P51" s="1"/>
      <c r="Q51" s="1"/>
      <c r="R51" s="1"/>
    </row>
    <row r="52" spans="1:18" x14ac:dyDescent="0.2">
      <c r="A52" s="1"/>
      <c r="B52" s="1"/>
      <c r="C52" s="1"/>
      <c r="D52" s="1"/>
      <c r="E52" s="1"/>
      <c r="F52" s="1"/>
      <c r="G52" s="1"/>
      <c r="H52" s="1"/>
      <c r="I52" s="1"/>
      <c r="J52" s="1"/>
      <c r="K52" s="1"/>
      <c r="L52" s="1"/>
      <c r="M52" s="1"/>
      <c r="P52" s="1"/>
      <c r="Q52" s="1"/>
      <c r="R52" s="1"/>
    </row>
    <row r="53" spans="1:18" x14ac:dyDescent="0.2">
      <c r="A53" s="1"/>
      <c r="B53" s="1"/>
      <c r="C53" s="1"/>
      <c r="D53" s="1"/>
      <c r="E53" s="1"/>
      <c r="F53" s="1"/>
      <c r="G53" s="1"/>
      <c r="H53" s="1"/>
      <c r="I53" s="1"/>
      <c r="J53" s="1"/>
      <c r="K53" s="1"/>
      <c r="L53" s="1"/>
      <c r="M53" s="1"/>
      <c r="P53" s="1"/>
      <c r="Q53" s="1"/>
      <c r="R53" s="1"/>
    </row>
    <row r="54" spans="1:18" x14ac:dyDescent="0.2">
      <c r="A54" s="1"/>
      <c r="B54" s="1"/>
      <c r="C54" s="1"/>
      <c r="D54" s="1"/>
      <c r="E54" s="1"/>
      <c r="F54" s="1"/>
      <c r="G54" s="1"/>
      <c r="H54" s="1"/>
      <c r="I54" s="1"/>
      <c r="J54" s="1"/>
      <c r="K54" s="1"/>
      <c r="L54" s="1"/>
      <c r="M54" s="1"/>
      <c r="P54" s="1"/>
      <c r="Q54" s="1"/>
      <c r="R54" s="1"/>
    </row>
    <row r="55" spans="1:18" x14ac:dyDescent="0.2">
      <c r="A55" s="1"/>
      <c r="B55" s="1"/>
      <c r="C55" s="1"/>
      <c r="D55" s="1"/>
      <c r="E55" s="1"/>
      <c r="F55" s="1"/>
      <c r="G55" s="1"/>
      <c r="H55" s="1"/>
      <c r="I55" s="1"/>
      <c r="J55" s="1"/>
      <c r="K55" s="1"/>
      <c r="L55" s="1"/>
      <c r="M55" s="1"/>
      <c r="P55" s="1"/>
      <c r="Q55" s="1"/>
      <c r="R55" s="1"/>
    </row>
    <row r="56" spans="1:18" x14ac:dyDescent="0.2">
      <c r="A56" s="1"/>
      <c r="B56" s="1"/>
      <c r="C56" s="1"/>
      <c r="D56" s="1"/>
      <c r="E56" s="1"/>
      <c r="F56" s="1"/>
      <c r="G56" s="1"/>
      <c r="H56" s="1"/>
      <c r="I56" s="1"/>
      <c r="J56" s="1"/>
      <c r="K56" s="1"/>
      <c r="L56" s="1"/>
      <c r="M56" s="1"/>
      <c r="P56" s="1"/>
      <c r="Q56" s="1"/>
      <c r="R56" s="1"/>
    </row>
    <row r="57" spans="1:18" x14ac:dyDescent="0.2">
      <c r="A57" s="1"/>
      <c r="D57" s="1"/>
      <c r="E57" s="1"/>
      <c r="F57" s="1"/>
      <c r="G57" s="1"/>
      <c r="I57" s="1"/>
      <c r="J57" s="1"/>
      <c r="K57" s="1"/>
      <c r="L57" s="1"/>
      <c r="M57" s="1"/>
      <c r="P57" s="1"/>
      <c r="Q57" s="1"/>
      <c r="R57" s="1"/>
    </row>
    <row r="58" spans="1:18" x14ac:dyDescent="0.2">
      <c r="A58" s="1"/>
      <c r="D58" s="1"/>
      <c r="E58" s="1"/>
      <c r="F58" s="1"/>
      <c r="G58" s="1"/>
      <c r="I58" s="1"/>
      <c r="J58" s="1"/>
      <c r="K58" s="1"/>
      <c r="L58" s="1"/>
      <c r="M58" s="1"/>
      <c r="P58" s="1"/>
      <c r="Q58" s="1"/>
      <c r="R58" s="1"/>
    </row>
    <row r="59" spans="1:18" x14ac:dyDescent="0.2">
      <c r="A59" s="1"/>
      <c r="D59" s="1"/>
      <c r="E59" s="1"/>
      <c r="F59" s="1"/>
      <c r="G59" s="1"/>
      <c r="I59" s="1"/>
      <c r="J59" s="1"/>
      <c r="K59" s="1"/>
      <c r="L59" s="1"/>
      <c r="M59" s="1"/>
      <c r="P59" s="1"/>
      <c r="Q59" s="1"/>
      <c r="R59" s="1"/>
    </row>
    <row r="60" spans="1:18" x14ac:dyDescent="0.2">
      <c r="A60" s="1"/>
      <c r="D60" s="1"/>
      <c r="E60" s="1"/>
      <c r="F60" s="1"/>
      <c r="G60" s="1"/>
      <c r="I60" s="1"/>
      <c r="J60" s="1"/>
      <c r="K60" s="1"/>
      <c r="L60" s="1"/>
      <c r="M60" s="1"/>
      <c r="P60" s="1"/>
      <c r="Q60" s="1"/>
      <c r="R60" s="1"/>
    </row>
    <row r="61" spans="1:18" x14ac:dyDescent="0.2">
      <c r="A61" s="1"/>
      <c r="D61" s="1"/>
      <c r="J61" s="1"/>
      <c r="K61" s="1"/>
      <c r="L61" s="1"/>
      <c r="M61" s="1"/>
      <c r="P61" s="1"/>
      <c r="Q61" s="1"/>
      <c r="R61" s="1"/>
    </row>
    <row r="62" spans="1:18" x14ac:dyDescent="0.2">
      <c r="A62" s="1"/>
      <c r="J62" s="1"/>
      <c r="K62" s="1"/>
      <c r="L62" s="1"/>
      <c r="M62" s="1"/>
      <c r="P62" s="1"/>
    </row>
    <row r="63" spans="1:18" x14ac:dyDescent="0.2">
      <c r="A63" s="1"/>
      <c r="J63" s="1"/>
      <c r="K63" s="1"/>
      <c r="L63" s="1"/>
      <c r="M63" s="1"/>
      <c r="P63" s="1"/>
    </row>
    <row r="64" spans="1:18" x14ac:dyDescent="0.2">
      <c r="A64" s="1"/>
    </row>
  </sheetData>
  <sheetProtection algorithmName="SHA-512" hashValue="ahkE75Q8Py3428PE6xJAbi2EUXxfl5vEWTOb3X34ZgKP2jb0jqNuLtO5EbWc8JRmYmc3u9AIqzT6vERn0IQ50w==" saltValue="DB5TtYnk4ytAr0RyXWzqyw==" spinCount="100000" sheet="1" objects="1" scenarios="1"/>
  <mergeCells count="11">
    <mergeCell ref="P11:R11"/>
    <mergeCell ref="C12:D12"/>
    <mergeCell ref="J12:L12"/>
    <mergeCell ref="E23:F23"/>
    <mergeCell ref="E24:F26"/>
    <mergeCell ref="B38:D44"/>
    <mergeCell ref="F3:G3"/>
    <mergeCell ref="I3:J3"/>
    <mergeCell ref="F4:G4"/>
    <mergeCell ref="I4:J4"/>
    <mergeCell ref="J8:L9"/>
  </mergeCells>
  <conditionalFormatting sqref="D32">
    <cfRule type="expression" dxfId="8" priority="8" stopIfTrue="1">
      <formula>OR($D$32&lt;30,D32&gt;85)</formula>
    </cfRule>
    <cfRule type="expression" dxfId="7" priority="9" stopIfTrue="1">
      <formula>OR($D$32&lt;50,D32&gt;80)</formula>
    </cfRule>
  </conditionalFormatting>
  <conditionalFormatting sqref="D36">
    <cfRule type="cellIs" dxfId="6" priority="6" stopIfTrue="1" operator="lessThan">
      <formula>100</formula>
    </cfRule>
  </conditionalFormatting>
  <conditionalFormatting sqref="D34">
    <cfRule type="cellIs" dxfId="5" priority="7" stopIfTrue="1" operator="lessThan">
      <formula>3</formula>
    </cfRule>
  </conditionalFormatting>
  <conditionalFormatting sqref="D24">
    <cfRule type="expression" dxfId="4" priority="5">
      <formula>$D$23/$D$24&lt;4</formula>
    </cfRule>
  </conditionalFormatting>
  <conditionalFormatting sqref="I9">
    <cfRule type="expression" dxfId="3" priority="4">
      <formula>$I$9&lt;=0</formula>
    </cfRule>
  </conditionalFormatting>
  <conditionalFormatting sqref="G24">
    <cfRule type="expression" dxfId="2" priority="2">
      <formula>$G$24&gt;$H$18-$AB$35-0.5</formula>
    </cfRule>
  </conditionalFormatting>
  <conditionalFormatting sqref="H35">
    <cfRule type="expression" dxfId="1" priority="1">
      <formula>$AC$45=1</formula>
    </cfRule>
  </conditionalFormatting>
  <conditionalFormatting sqref="G21">
    <cfRule type="expression" dxfId="0" priority="11">
      <formula>$G$33+$G$21&lt;$H$18+0.5</formula>
    </cfRule>
  </conditionalFormatting>
  <printOptions horizontalCentered="1" verticalCentered="1"/>
  <pageMargins left="0.25" right="0.25" top="0.75" bottom="0.75" header="0.3" footer="0.3"/>
  <pageSetup scale="7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385" r:id="rId4" name="Drop Down 1">
              <controlPr defaultSize="0" autoLine="0" autoPict="0">
                <anchor moveWithCells="1">
                  <from>
                    <xdr:col>2</xdr:col>
                    <xdr:colOff>1771650</xdr:colOff>
                    <xdr:row>10</xdr:row>
                    <xdr:rowOff>38100</xdr:rowOff>
                  </from>
                  <to>
                    <xdr:col>3</xdr:col>
                    <xdr:colOff>628650</xdr:colOff>
                    <xdr:row>10</xdr:row>
                    <xdr:rowOff>276225</xdr:rowOff>
                  </to>
                </anchor>
              </controlPr>
            </control>
          </mc:Choice>
        </mc:AlternateContent>
        <mc:AlternateContent xmlns:mc="http://schemas.openxmlformats.org/markup-compatibility/2006">
          <mc:Choice Requires="x14">
            <control shapeId="16386" r:id="rId5" name="Drop Down 2">
              <controlPr defaultSize="0" autoLine="0" autoPict="0">
                <anchor moveWithCells="1">
                  <from>
                    <xdr:col>2</xdr:col>
                    <xdr:colOff>2076450</xdr:colOff>
                    <xdr:row>8</xdr:row>
                    <xdr:rowOff>19050</xdr:rowOff>
                  </from>
                  <to>
                    <xdr:col>3</xdr:col>
                    <xdr:colOff>628650</xdr:colOff>
                    <xdr:row>8</xdr:row>
                    <xdr:rowOff>238125</xdr:rowOff>
                  </to>
                </anchor>
              </controlPr>
            </control>
          </mc:Choice>
        </mc:AlternateContent>
        <mc:AlternateContent xmlns:mc="http://schemas.openxmlformats.org/markup-compatibility/2006">
          <mc:Choice Requires="x14">
            <control shapeId="16387" r:id="rId6" name="Drop Down 3">
              <controlPr defaultSize="0" autoLine="0" autoPict="0">
                <anchor moveWithCells="1">
                  <from>
                    <xdr:col>2</xdr:col>
                    <xdr:colOff>1828800</xdr:colOff>
                    <xdr:row>17</xdr:row>
                    <xdr:rowOff>28575</xdr:rowOff>
                  </from>
                  <to>
                    <xdr:col>3</xdr:col>
                    <xdr:colOff>704850</xdr:colOff>
                    <xdr:row>18</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4:AJ74"/>
  <sheetViews>
    <sheetView showGridLines="0" topLeftCell="P43" workbookViewId="0">
      <selection activeCell="AJ74" sqref="AJ74"/>
    </sheetView>
  </sheetViews>
  <sheetFormatPr defaultRowHeight="12.75" x14ac:dyDescent="0.2"/>
  <cols>
    <col min="1" max="34" width="9.140625" style="82"/>
    <col min="35" max="35" width="9.140625" style="82" customWidth="1"/>
    <col min="36" max="290" width="9.140625" style="82"/>
    <col min="291" max="291" width="9.140625" style="82" customWidth="1"/>
    <col min="292" max="546" width="9.140625" style="82"/>
    <col min="547" max="547" width="9.140625" style="82" customWidth="1"/>
    <col min="548" max="802" width="9.140625" style="82"/>
    <col min="803" max="803" width="9.140625" style="82" customWidth="1"/>
    <col min="804" max="1058" width="9.140625" style="82"/>
    <col min="1059" max="1059" width="9.140625" style="82" customWidth="1"/>
    <col min="1060" max="1314" width="9.140625" style="82"/>
    <col min="1315" max="1315" width="9.140625" style="82" customWidth="1"/>
    <col min="1316" max="1570" width="9.140625" style="82"/>
    <col min="1571" max="1571" width="9.140625" style="82" customWidth="1"/>
    <col min="1572" max="1826" width="9.140625" style="82"/>
    <col min="1827" max="1827" width="9.140625" style="82" customWidth="1"/>
    <col min="1828" max="2082" width="9.140625" style="82"/>
    <col min="2083" max="2083" width="9.140625" style="82" customWidth="1"/>
    <col min="2084" max="2338" width="9.140625" style="82"/>
    <col min="2339" max="2339" width="9.140625" style="82" customWidth="1"/>
    <col min="2340" max="2594" width="9.140625" style="82"/>
    <col min="2595" max="2595" width="9.140625" style="82" customWidth="1"/>
    <col min="2596" max="2850" width="9.140625" style="82"/>
    <col min="2851" max="2851" width="9.140625" style="82" customWidth="1"/>
    <col min="2852" max="3106" width="9.140625" style="82"/>
    <col min="3107" max="3107" width="9.140625" style="82" customWidth="1"/>
    <col min="3108" max="3362" width="9.140625" style="82"/>
    <col min="3363" max="3363" width="9.140625" style="82" customWidth="1"/>
    <col min="3364" max="3618" width="9.140625" style="82"/>
    <col min="3619" max="3619" width="9.140625" style="82" customWidth="1"/>
    <col min="3620" max="3874" width="9.140625" style="82"/>
    <col min="3875" max="3875" width="9.140625" style="82" customWidth="1"/>
    <col min="3876" max="4130" width="9.140625" style="82"/>
    <col min="4131" max="4131" width="9.140625" style="82" customWidth="1"/>
    <col min="4132" max="4386" width="9.140625" style="82"/>
    <col min="4387" max="4387" width="9.140625" style="82" customWidth="1"/>
    <col min="4388" max="4642" width="9.140625" style="82"/>
    <col min="4643" max="4643" width="9.140625" style="82" customWidth="1"/>
    <col min="4644" max="4898" width="9.140625" style="82"/>
    <col min="4899" max="4899" width="9.140625" style="82" customWidth="1"/>
    <col min="4900" max="5154" width="9.140625" style="82"/>
    <col min="5155" max="5155" width="9.140625" style="82" customWidth="1"/>
    <col min="5156" max="5410" width="9.140625" style="82"/>
    <col min="5411" max="5411" width="9.140625" style="82" customWidth="1"/>
    <col min="5412" max="5666" width="9.140625" style="82"/>
    <col min="5667" max="5667" width="9.140625" style="82" customWidth="1"/>
    <col min="5668" max="5922" width="9.140625" style="82"/>
    <col min="5923" max="5923" width="9.140625" style="82" customWidth="1"/>
    <col min="5924" max="6178" width="9.140625" style="82"/>
    <col min="6179" max="6179" width="9.140625" style="82" customWidth="1"/>
    <col min="6180" max="6434" width="9.140625" style="82"/>
    <col min="6435" max="6435" width="9.140625" style="82" customWidth="1"/>
    <col min="6436" max="6690" width="9.140625" style="82"/>
    <col min="6691" max="6691" width="9.140625" style="82" customWidth="1"/>
    <col min="6692" max="6946" width="9.140625" style="82"/>
    <col min="6947" max="6947" width="9.140625" style="82" customWidth="1"/>
    <col min="6948" max="7202" width="9.140625" style="82"/>
    <col min="7203" max="7203" width="9.140625" style="82" customWidth="1"/>
    <col min="7204" max="7458" width="9.140625" style="82"/>
    <col min="7459" max="7459" width="9.140625" style="82" customWidth="1"/>
    <col min="7460" max="7714" width="9.140625" style="82"/>
    <col min="7715" max="7715" width="9.140625" style="82" customWidth="1"/>
    <col min="7716" max="7970" width="9.140625" style="82"/>
    <col min="7971" max="7971" width="9.140625" style="82" customWidth="1"/>
    <col min="7972" max="8226" width="9.140625" style="82"/>
    <col min="8227" max="8227" width="9.140625" style="82" customWidth="1"/>
    <col min="8228" max="8482" width="9.140625" style="82"/>
    <col min="8483" max="8483" width="9.140625" style="82" customWidth="1"/>
    <col min="8484" max="8738" width="9.140625" style="82"/>
    <col min="8739" max="8739" width="9.140625" style="82" customWidth="1"/>
    <col min="8740" max="8994" width="9.140625" style="82"/>
    <col min="8995" max="8995" width="9.140625" style="82" customWidth="1"/>
    <col min="8996" max="9250" width="9.140625" style="82"/>
    <col min="9251" max="9251" width="9.140625" style="82" customWidth="1"/>
    <col min="9252" max="9506" width="9.140625" style="82"/>
    <col min="9507" max="9507" width="9.140625" style="82" customWidth="1"/>
    <col min="9508" max="9762" width="9.140625" style="82"/>
    <col min="9763" max="9763" width="9.140625" style="82" customWidth="1"/>
    <col min="9764" max="10018" width="9.140625" style="82"/>
    <col min="10019" max="10019" width="9.140625" style="82" customWidth="1"/>
    <col min="10020" max="10274" width="9.140625" style="82"/>
    <col min="10275" max="10275" width="9.140625" style="82" customWidth="1"/>
    <col min="10276" max="10530" width="9.140625" style="82"/>
    <col min="10531" max="10531" width="9.140625" style="82" customWidth="1"/>
    <col min="10532" max="10786" width="9.140625" style="82"/>
    <col min="10787" max="10787" width="9.140625" style="82" customWidth="1"/>
    <col min="10788" max="11042" width="9.140625" style="82"/>
    <col min="11043" max="11043" width="9.140625" style="82" customWidth="1"/>
    <col min="11044" max="11298" width="9.140625" style="82"/>
    <col min="11299" max="11299" width="9.140625" style="82" customWidth="1"/>
    <col min="11300" max="11554" width="9.140625" style="82"/>
    <col min="11555" max="11555" width="9.140625" style="82" customWidth="1"/>
    <col min="11556" max="11810" width="9.140625" style="82"/>
    <col min="11811" max="11811" width="9.140625" style="82" customWidth="1"/>
    <col min="11812" max="12066" width="9.140625" style="82"/>
    <col min="12067" max="12067" width="9.140625" style="82" customWidth="1"/>
    <col min="12068" max="12322" width="9.140625" style="82"/>
    <col min="12323" max="12323" width="9.140625" style="82" customWidth="1"/>
    <col min="12324" max="12578" width="9.140625" style="82"/>
    <col min="12579" max="12579" width="9.140625" style="82" customWidth="1"/>
    <col min="12580" max="12834" width="9.140625" style="82"/>
    <col min="12835" max="12835" width="9.140625" style="82" customWidth="1"/>
    <col min="12836" max="13090" width="9.140625" style="82"/>
    <col min="13091" max="13091" width="9.140625" style="82" customWidth="1"/>
    <col min="13092" max="13346" width="9.140625" style="82"/>
    <col min="13347" max="13347" width="9.140625" style="82" customWidth="1"/>
    <col min="13348" max="13602" width="9.140625" style="82"/>
    <col min="13603" max="13603" width="9.140625" style="82" customWidth="1"/>
    <col min="13604" max="13858" width="9.140625" style="82"/>
    <col min="13859" max="13859" width="9.140625" style="82" customWidth="1"/>
    <col min="13860" max="14114" width="9.140625" style="82"/>
    <col min="14115" max="14115" width="9.140625" style="82" customWidth="1"/>
    <col min="14116" max="14370" width="9.140625" style="82"/>
    <col min="14371" max="14371" width="9.140625" style="82" customWidth="1"/>
    <col min="14372" max="14626" width="9.140625" style="82"/>
    <col min="14627" max="14627" width="9.140625" style="82" customWidth="1"/>
    <col min="14628" max="14882" width="9.140625" style="82"/>
    <col min="14883" max="14883" width="9.140625" style="82" customWidth="1"/>
    <col min="14884" max="15138" width="9.140625" style="82"/>
    <col min="15139" max="15139" width="9.140625" style="82" customWidth="1"/>
    <col min="15140" max="15394" width="9.140625" style="82"/>
    <col min="15395" max="15395" width="9.140625" style="82" customWidth="1"/>
    <col min="15396" max="15650" width="9.140625" style="82"/>
    <col min="15651" max="15651" width="9.140625" style="82" customWidth="1"/>
    <col min="15652" max="15906" width="9.140625" style="82"/>
    <col min="15907" max="15907" width="9.140625" style="82" customWidth="1"/>
    <col min="15908" max="16162" width="9.140625" style="82"/>
    <col min="16163" max="16163" width="9.140625" style="82" customWidth="1"/>
    <col min="16164" max="16384" width="9.140625" style="82"/>
  </cols>
  <sheetData>
    <row r="4" spans="2:8" ht="27.75" customHeight="1" x14ac:dyDescent="0.2"/>
    <row r="5" spans="2:8" x14ac:dyDescent="0.2">
      <c r="B5" s="82" t="s">
        <v>62</v>
      </c>
    </row>
    <row r="6" spans="2:8" x14ac:dyDescent="0.2">
      <c r="G6" s="83">
        <v>1</v>
      </c>
    </row>
    <row r="7" spans="2:8" x14ac:dyDescent="0.2">
      <c r="G7" s="82">
        <v>1</v>
      </c>
      <c r="H7" s="82" t="s">
        <v>15</v>
      </c>
    </row>
    <row r="8" spans="2:8" ht="20.25" customHeight="1" x14ac:dyDescent="0.2">
      <c r="G8" s="82">
        <v>2</v>
      </c>
      <c r="H8" s="82" t="s">
        <v>16</v>
      </c>
    </row>
    <row r="14" spans="2:8" ht="21" customHeight="1" x14ac:dyDescent="0.2"/>
    <row r="17" spans="2:21" x14ac:dyDescent="0.2">
      <c r="G17" s="82" t="s">
        <v>72</v>
      </c>
    </row>
    <row r="23" spans="2:21" x14ac:dyDescent="0.2">
      <c r="U23" s="82" t="s">
        <v>73</v>
      </c>
    </row>
    <row r="24" spans="2:21" x14ac:dyDescent="0.2">
      <c r="U24" s="82">
        <v>1.2</v>
      </c>
    </row>
    <row r="25" spans="2:21" ht="15" x14ac:dyDescent="0.25">
      <c r="B25" s="84" t="s">
        <v>63</v>
      </c>
    </row>
    <row r="26" spans="2:21" ht="15.75" thickBot="1" x14ac:dyDescent="0.3">
      <c r="B26" s="84"/>
    </row>
    <row r="27" spans="2:21" ht="45.75" thickBot="1" x14ac:dyDescent="0.25">
      <c r="B27" s="85" t="s">
        <v>64</v>
      </c>
      <c r="C27" s="86" t="s">
        <v>65</v>
      </c>
      <c r="D27" s="86" t="s">
        <v>66</v>
      </c>
      <c r="E27" s="87" t="s">
        <v>67</v>
      </c>
      <c r="F27" s="88">
        <v>1</v>
      </c>
      <c r="G27" s="82" t="str">
        <f>C27</f>
        <v>No soil on top</v>
      </c>
      <c r="J27" s="82" t="s">
        <v>74</v>
      </c>
    </row>
    <row r="28" spans="2:21" x14ac:dyDescent="0.2">
      <c r="B28" s="89" t="s">
        <v>68</v>
      </c>
      <c r="C28" s="90">
        <f>0.97/2.54/12</f>
        <v>3.1824146981627298E-2</v>
      </c>
      <c r="D28" s="90">
        <f>0.84/2.54/12</f>
        <v>2.7559055118110232E-2</v>
      </c>
      <c r="E28" s="91">
        <f>0.94/2.54/12</f>
        <v>3.0839895013123356E-2</v>
      </c>
      <c r="G28" s="82" t="str">
        <f>D27</f>
        <v>1 ft of soil</v>
      </c>
      <c r="J28" s="82" t="s">
        <v>75</v>
      </c>
    </row>
    <row r="29" spans="2:21" x14ac:dyDescent="0.2">
      <c r="B29" s="89" t="s">
        <v>69</v>
      </c>
      <c r="C29" s="90">
        <f>0.69/2.54/12</f>
        <v>2.2637795275590549E-2</v>
      </c>
      <c r="D29" s="90">
        <f>0.61/2.54/12</f>
        <v>2.001312335958005E-2</v>
      </c>
      <c r="E29" s="91">
        <f>0.6/2.54/12</f>
        <v>1.968503937007874E-2</v>
      </c>
      <c r="G29" s="82" t="str">
        <f>E27</f>
        <v>2 ft of soil</v>
      </c>
      <c r="J29" s="82" t="s">
        <v>76</v>
      </c>
    </row>
    <row r="30" spans="2:21" ht="13.5" thickBot="1" x14ac:dyDescent="0.25">
      <c r="B30" s="92" t="s">
        <v>70</v>
      </c>
      <c r="C30" s="93">
        <f>0.69/2.54/12</f>
        <v>2.2637795275590549E-2</v>
      </c>
      <c r="D30" s="93">
        <f>0.59/2.54/12</f>
        <v>1.9356955380577426E-2</v>
      </c>
      <c r="E30" s="94">
        <f>0.53/2.54/12</f>
        <v>1.7388451443569555E-2</v>
      </c>
    </row>
    <row r="31" spans="2:21" ht="13.5" thickBot="1" x14ac:dyDescent="0.25">
      <c r="B31" s="88">
        <v>3</v>
      </c>
    </row>
    <row r="33" spans="2:36" ht="13.5" thickBot="1" x14ac:dyDescent="0.25">
      <c r="B33" s="95" t="s">
        <v>71</v>
      </c>
    </row>
    <row r="34" spans="2:36" ht="45" x14ac:dyDescent="0.2">
      <c r="B34" s="85" t="s">
        <v>64</v>
      </c>
      <c r="C34" s="86" t="s">
        <v>65</v>
      </c>
      <c r="D34" s="86" t="s">
        <v>66</v>
      </c>
      <c r="E34" s="87" t="s">
        <v>67</v>
      </c>
      <c r="AJ34" s="82" t="s">
        <v>77</v>
      </c>
    </row>
    <row r="35" spans="2:36" x14ac:dyDescent="0.2">
      <c r="B35" s="89" t="s">
        <v>68</v>
      </c>
      <c r="C35" s="96">
        <v>0.59</v>
      </c>
      <c r="D35" s="96">
        <v>0.55000000000000004</v>
      </c>
      <c r="E35" s="97">
        <v>0.54</v>
      </c>
    </row>
    <row r="36" spans="2:36" x14ac:dyDescent="0.2">
      <c r="B36" s="89" t="s">
        <v>69</v>
      </c>
      <c r="C36" s="96">
        <v>0.64</v>
      </c>
      <c r="D36" s="96">
        <v>0.6</v>
      </c>
      <c r="E36" s="97">
        <v>0.59</v>
      </c>
      <c r="AJ36" s="82">
        <f>(3.9+3.95+3.46)/3</f>
        <v>3.7699999999999996</v>
      </c>
    </row>
    <row r="37" spans="2:36" ht="13.5" thickBot="1" x14ac:dyDescent="0.25">
      <c r="B37" s="92" t="s">
        <v>70</v>
      </c>
      <c r="C37" s="98">
        <v>0.53</v>
      </c>
      <c r="D37" s="98">
        <v>0.47</v>
      </c>
      <c r="E37" s="99">
        <v>0.47</v>
      </c>
    </row>
    <row r="40" spans="2:36" x14ac:dyDescent="0.2">
      <c r="AJ40" s="82">
        <f>(3.56+3.71+3.68)/3</f>
        <v>3.65</v>
      </c>
    </row>
    <row r="41" spans="2:36" x14ac:dyDescent="0.2">
      <c r="D41" s="82" t="s">
        <v>17</v>
      </c>
      <c r="E41" s="82" t="s">
        <v>18</v>
      </c>
      <c r="F41" s="82" t="s">
        <v>19</v>
      </c>
      <c r="G41" s="82" t="s">
        <v>20</v>
      </c>
    </row>
    <row r="42" spans="2:36" x14ac:dyDescent="0.2">
      <c r="B42" s="82" t="s">
        <v>15</v>
      </c>
      <c r="D42" s="83">
        <v>5</v>
      </c>
      <c r="E42" s="82">
        <f>INDEX(D44:D52,D42)</f>
        <v>1.4999999999999999E-2</v>
      </c>
      <c r="F42" s="82">
        <f>INDEX(B44:B52,D42)</f>
        <v>10</v>
      </c>
      <c r="G42" s="82">
        <f>INDEX(E44:E52,D42)</f>
        <v>1</v>
      </c>
      <c r="I42" s="82" t="s">
        <v>78</v>
      </c>
      <c r="K42" s="82" t="s">
        <v>79</v>
      </c>
      <c r="L42" s="100" t="s">
        <v>80</v>
      </c>
    </row>
    <row r="43" spans="2:36" x14ac:dyDescent="0.2">
      <c r="B43" s="101" t="s">
        <v>21</v>
      </c>
      <c r="C43" s="102"/>
      <c r="D43" s="103" t="s">
        <v>18</v>
      </c>
      <c r="E43" s="82" t="s">
        <v>22</v>
      </c>
    </row>
    <row r="44" spans="2:36" x14ac:dyDescent="0.2">
      <c r="B44" s="104">
        <v>4</v>
      </c>
      <c r="C44" s="105"/>
      <c r="D44" s="106">
        <v>1.4999999999999999E-2</v>
      </c>
      <c r="E44" s="82">
        <v>1</v>
      </c>
      <c r="AJ44" s="82">
        <f>(3.57+3.4+3.06)/3</f>
        <v>3.3433333333333333</v>
      </c>
    </row>
    <row r="45" spans="2:36" x14ac:dyDescent="0.2">
      <c r="B45" s="104">
        <v>5</v>
      </c>
      <c r="C45" s="105"/>
      <c r="D45" s="106">
        <v>1.4999999999999999E-2</v>
      </c>
      <c r="E45" s="82">
        <v>1</v>
      </c>
    </row>
    <row r="46" spans="2:36" x14ac:dyDescent="0.2">
      <c r="B46" s="104">
        <v>6</v>
      </c>
      <c r="C46" s="105"/>
      <c r="D46" s="106">
        <v>1.4999999999999999E-2</v>
      </c>
      <c r="E46" s="82">
        <v>1</v>
      </c>
    </row>
    <row r="47" spans="2:36" x14ac:dyDescent="0.2">
      <c r="B47" s="104">
        <v>8</v>
      </c>
      <c r="C47" s="105"/>
      <c r="D47" s="106">
        <v>1.4999999999999999E-2</v>
      </c>
      <c r="E47" s="82">
        <v>1</v>
      </c>
    </row>
    <row r="48" spans="2:36" x14ac:dyDescent="0.2">
      <c r="B48" s="104">
        <v>10</v>
      </c>
      <c r="C48" s="105"/>
      <c r="D48" s="106">
        <v>1.4999999999999999E-2</v>
      </c>
      <c r="E48" s="82">
        <v>1</v>
      </c>
    </row>
    <row r="49" spans="2:36" x14ac:dyDescent="0.2">
      <c r="B49" s="104">
        <v>12</v>
      </c>
      <c r="C49" s="105"/>
      <c r="D49" s="106">
        <v>1.7000000000000001E-2</v>
      </c>
      <c r="E49" s="82">
        <v>1.5</v>
      </c>
      <c r="AJ49" s="82">
        <f>(3.47+2.8+2.52)/3</f>
        <v>2.9299999999999997</v>
      </c>
    </row>
    <row r="50" spans="2:36" x14ac:dyDescent="0.2">
      <c r="B50" s="104">
        <v>15</v>
      </c>
      <c r="C50" s="105"/>
      <c r="D50" s="106">
        <v>0.02</v>
      </c>
      <c r="E50" s="82">
        <v>1.5</v>
      </c>
    </row>
    <row r="51" spans="2:36" x14ac:dyDescent="0.2">
      <c r="B51" s="104">
        <v>18</v>
      </c>
      <c r="C51" s="105"/>
      <c r="D51" s="106">
        <v>0.02</v>
      </c>
      <c r="E51" s="82">
        <v>1.5</v>
      </c>
    </row>
    <row r="52" spans="2:36" x14ac:dyDescent="0.2">
      <c r="B52" s="104">
        <v>21</v>
      </c>
      <c r="C52" s="105"/>
      <c r="D52" s="106">
        <v>0.02</v>
      </c>
      <c r="E52" s="82">
        <v>1.5</v>
      </c>
    </row>
    <row r="53" spans="2:36" x14ac:dyDescent="0.2">
      <c r="AJ53" s="82">
        <f>(2.5+2.78+2.94)/3</f>
        <v>2.7399999999999998</v>
      </c>
    </row>
    <row r="54" spans="2:36" x14ac:dyDescent="0.2">
      <c r="B54" s="82" t="s">
        <v>81</v>
      </c>
    </row>
    <row r="55" spans="2:36" x14ac:dyDescent="0.2">
      <c r="B55" s="82" t="s">
        <v>82</v>
      </c>
      <c r="F55" s="107" t="e">
        <f>#REF!*#REF!*(#REF!*#REF!)</f>
        <v>#REF!</v>
      </c>
      <c r="G55" s="82" t="s">
        <v>40</v>
      </c>
    </row>
    <row r="56" spans="2:36" x14ac:dyDescent="0.2">
      <c r="B56" s="82" t="s">
        <v>83</v>
      </c>
      <c r="F56" s="82" t="s">
        <v>84</v>
      </c>
    </row>
    <row r="57" spans="2:36" x14ac:dyDescent="0.2">
      <c r="B57" s="82" t="s">
        <v>85</v>
      </c>
      <c r="F57" s="82" t="e">
        <f>1.49*(#REF!)^0.5*((6/12/4)^(2/3))/0.015</f>
        <v>#REF!</v>
      </c>
      <c r="G57" s="82" t="s">
        <v>86</v>
      </c>
    </row>
    <row r="58" spans="2:36" x14ac:dyDescent="0.2">
      <c r="B58" s="82" t="s">
        <v>87</v>
      </c>
    </row>
    <row r="59" spans="2:36" x14ac:dyDescent="0.2">
      <c r="I59" s="82" t="s">
        <v>88</v>
      </c>
    </row>
    <row r="69" spans="19:36" x14ac:dyDescent="0.2">
      <c r="S69" s="82" t="s">
        <v>89</v>
      </c>
    </row>
    <row r="73" spans="19:36" x14ac:dyDescent="0.2">
      <c r="AJ73" s="82" t="s">
        <v>90</v>
      </c>
    </row>
    <row r="74" spans="19:36" x14ac:dyDescent="0.2">
      <c r="AJ74" s="109">
        <f>SUM(U24,AJ36,AJ40,AJ44,AJ49,AJ53)/6</f>
        <v>2.9388888888888887</v>
      </c>
    </row>
  </sheetData>
  <sheetProtection algorithmName="SHA-512" hashValue="AK7Afwal7OYOFUE/nMnGwxMKuV6efsbH57NNBUxYKm6hZ/DuPGV71OoNF8kgAD1bL8wO8Xb7P7+LIgjPlWRJMg==" saltValue="MpFn7XxANqfNCpcc1pYwJA==" spinCount="100000" sheet="1"/>
  <hyperlinks>
    <hyperlink ref="L42" r:id="rId1" xr:uid="{00000000-0004-0000-0100-000000000000}"/>
  </hyperlinks>
  <pageMargins left="0.75" right="0.75" top="1" bottom="1" header="0.5" footer="0.5"/>
  <pageSetup scale="58" orientation="landscape"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B25"/>
  <sheetViews>
    <sheetView workbookViewId="0">
      <selection activeCell="B9" sqref="B9"/>
    </sheetView>
  </sheetViews>
  <sheetFormatPr defaultRowHeight="12.75" x14ac:dyDescent="0.2"/>
  <cols>
    <col min="1" max="1" width="5.5703125" style="4" customWidth="1"/>
    <col min="2" max="2" width="86" customWidth="1"/>
  </cols>
  <sheetData>
    <row r="1" spans="1:2" x14ac:dyDescent="0.2">
      <c r="A1" s="132" t="s">
        <v>5</v>
      </c>
    </row>
    <row r="3" spans="1:2" ht="25.5" x14ac:dyDescent="0.2">
      <c r="A3" s="149">
        <v>1</v>
      </c>
      <c r="B3" s="5" t="s">
        <v>4</v>
      </c>
    </row>
    <row r="4" spans="1:2" x14ac:dyDescent="0.2">
      <c r="A4" s="149"/>
      <c r="B4" s="5"/>
    </row>
    <row r="5" spans="1:2" ht="25.5" x14ac:dyDescent="0.2">
      <c r="A5" s="149">
        <v>2</v>
      </c>
      <c r="B5" s="5" t="s">
        <v>24</v>
      </c>
    </row>
    <row r="6" spans="1:2" x14ac:dyDescent="0.2">
      <c r="A6" s="149"/>
      <c r="B6" s="5"/>
    </row>
    <row r="7" spans="1:2" ht="38.25" x14ac:dyDescent="0.2">
      <c r="A7" s="149">
        <v>3</v>
      </c>
      <c r="B7" s="5" t="s">
        <v>125</v>
      </c>
    </row>
    <row r="8" spans="1:2" x14ac:dyDescent="0.2">
      <c r="A8" s="149"/>
      <c r="B8" s="5"/>
    </row>
    <row r="9" spans="1:2" ht="25.5" x14ac:dyDescent="0.2">
      <c r="A9" s="149">
        <v>4</v>
      </c>
      <c r="B9" s="5" t="s">
        <v>140</v>
      </c>
    </row>
    <row r="10" spans="1:2" x14ac:dyDescent="0.2">
      <c r="A10" s="149"/>
      <c r="B10" s="5"/>
    </row>
    <row r="11" spans="1:2" ht="26.45" customHeight="1" x14ac:dyDescent="0.2">
      <c r="A11" s="149">
        <v>5</v>
      </c>
      <c r="B11" s="5" t="s">
        <v>2</v>
      </c>
    </row>
    <row r="12" spans="1:2" x14ac:dyDescent="0.2">
      <c r="A12" s="149"/>
      <c r="B12" s="3"/>
    </row>
    <row r="13" spans="1:2" ht="38.25" x14ac:dyDescent="0.2">
      <c r="A13" s="149">
        <v>6</v>
      </c>
      <c r="B13" s="5" t="s">
        <v>6</v>
      </c>
    </row>
    <row r="14" spans="1:2" x14ac:dyDescent="0.2">
      <c r="A14" s="149"/>
      <c r="B14" s="3"/>
    </row>
    <row r="15" spans="1:2" ht="25.5" x14ac:dyDescent="0.2">
      <c r="A15" s="149">
        <v>7</v>
      </c>
      <c r="B15" s="5" t="s">
        <v>137</v>
      </c>
    </row>
    <row r="16" spans="1:2" x14ac:dyDescent="0.2">
      <c r="A16" s="149"/>
      <c r="B16" s="3"/>
    </row>
    <row r="17" spans="1:2" ht="38.25" x14ac:dyDescent="0.2">
      <c r="A17" s="149">
        <v>8</v>
      </c>
      <c r="B17" s="5" t="s">
        <v>138</v>
      </c>
    </row>
    <row r="18" spans="1:2" x14ac:dyDescent="0.2">
      <c r="A18" s="149"/>
      <c r="B18" s="4"/>
    </row>
    <row r="19" spans="1:2" ht="25.5" x14ac:dyDescent="0.2">
      <c r="A19" s="149">
        <v>9</v>
      </c>
      <c r="B19" s="5" t="s">
        <v>160</v>
      </c>
    </row>
    <row r="20" spans="1:2" x14ac:dyDescent="0.2">
      <c r="A20" s="149"/>
      <c r="B20" s="3"/>
    </row>
    <row r="21" spans="1:2" ht="25.5" x14ac:dyDescent="0.2">
      <c r="A21" s="149">
        <v>10</v>
      </c>
      <c r="B21" s="5" t="s">
        <v>3</v>
      </c>
    </row>
    <row r="22" spans="1:2" x14ac:dyDescent="0.2">
      <c r="A22" s="149"/>
      <c r="B22" s="3"/>
    </row>
    <row r="23" spans="1:2" ht="25.5" x14ac:dyDescent="0.2">
      <c r="A23" s="149">
        <v>11</v>
      </c>
      <c r="B23" s="5" t="s">
        <v>1</v>
      </c>
    </row>
    <row r="24" spans="1:2" x14ac:dyDescent="0.2">
      <c r="A24" s="3"/>
    </row>
    <row r="25" spans="1:2" x14ac:dyDescent="0.2">
      <c r="A25" s="3"/>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E4A76-1FDA-4E8C-9A92-A7B372B4A0C6}">
  <sheetPr codeName="Sheet5"/>
  <dimension ref="A1:G38"/>
  <sheetViews>
    <sheetView zoomScaleNormal="100" workbookViewId="0">
      <selection activeCell="A2" sqref="A2"/>
    </sheetView>
  </sheetViews>
  <sheetFormatPr defaultRowHeight="12.75" x14ac:dyDescent="0.2"/>
  <cols>
    <col min="1" max="1" width="10.7109375" customWidth="1"/>
    <col min="2" max="2" width="8.85546875" customWidth="1"/>
    <col min="3" max="3" width="71.42578125" customWidth="1"/>
  </cols>
  <sheetData>
    <row r="1" spans="1:3" x14ac:dyDescent="0.2">
      <c r="A1" s="132" t="s">
        <v>216</v>
      </c>
    </row>
    <row r="2" spans="1:3" x14ac:dyDescent="0.2">
      <c r="A2" s="6" t="s">
        <v>215</v>
      </c>
      <c r="B2" s="6" t="s">
        <v>126</v>
      </c>
    </row>
    <row r="4" spans="1:3" ht="39.6" customHeight="1" x14ac:dyDescent="0.2">
      <c r="A4" s="226" t="s">
        <v>164</v>
      </c>
      <c r="B4" s="226"/>
      <c r="C4" s="226"/>
    </row>
    <row r="5" spans="1:3" x14ac:dyDescent="0.2">
      <c r="A5" s="227" t="s">
        <v>139</v>
      </c>
      <c r="B5" s="227"/>
      <c r="C5" s="227"/>
    </row>
    <row r="6" spans="1:3" x14ac:dyDescent="0.2">
      <c r="B6" s="6" t="s">
        <v>127</v>
      </c>
    </row>
    <row r="7" spans="1:3" x14ac:dyDescent="0.2">
      <c r="B7" s="6" t="s">
        <v>128</v>
      </c>
    </row>
    <row r="8" spans="1:3" x14ac:dyDescent="0.2">
      <c r="B8" s="6" t="s">
        <v>129</v>
      </c>
    </row>
    <row r="9" spans="1:3" x14ac:dyDescent="0.2">
      <c r="A9" s="6" t="s">
        <v>141</v>
      </c>
    </row>
    <row r="10" spans="1:3" x14ac:dyDescent="0.2">
      <c r="A10" s="6" t="s">
        <v>136</v>
      </c>
    </row>
    <row r="12" spans="1:3" x14ac:dyDescent="0.2">
      <c r="A12" s="132" t="s">
        <v>131</v>
      </c>
    </row>
    <row r="13" spans="1:3" x14ac:dyDescent="0.2">
      <c r="A13" t="s">
        <v>132</v>
      </c>
    </row>
    <row r="14" spans="1:3" x14ac:dyDescent="0.2">
      <c r="A14" s="6" t="s">
        <v>148</v>
      </c>
    </row>
    <row r="15" spans="1:3" x14ac:dyDescent="0.2">
      <c r="A15" s="6" t="s">
        <v>133</v>
      </c>
    </row>
    <row r="17" spans="1:7" x14ac:dyDescent="0.2">
      <c r="A17" s="132" t="s">
        <v>142</v>
      </c>
    </row>
    <row r="18" spans="1:7" ht="13.5" thickBot="1" x14ac:dyDescent="0.25">
      <c r="A18" s="164" t="s">
        <v>7</v>
      </c>
      <c r="B18" s="164" t="s">
        <v>38</v>
      </c>
      <c r="C18" s="165" t="s">
        <v>39</v>
      </c>
    </row>
    <row r="19" spans="1:7" ht="38.25" x14ac:dyDescent="0.2">
      <c r="A19" s="154">
        <v>2010</v>
      </c>
      <c r="B19" s="154" t="s">
        <v>143</v>
      </c>
      <c r="C19" s="163" t="s">
        <v>154</v>
      </c>
      <c r="D19" s="157"/>
      <c r="G19" s="157"/>
    </row>
    <row r="20" spans="1:7" ht="54.75" customHeight="1" x14ac:dyDescent="0.2">
      <c r="A20" s="166">
        <v>40708</v>
      </c>
      <c r="B20" s="167"/>
      <c r="C20" s="168" t="s">
        <v>144</v>
      </c>
    </row>
    <row r="21" spans="1:7" x14ac:dyDescent="0.2">
      <c r="A21" s="153">
        <v>40710</v>
      </c>
      <c r="B21" s="151"/>
      <c r="C21" s="5" t="s">
        <v>145</v>
      </c>
    </row>
    <row r="22" spans="1:7" x14ac:dyDescent="0.2">
      <c r="A22" s="150"/>
      <c r="B22" s="10"/>
      <c r="C22" s="5" t="s">
        <v>146</v>
      </c>
    </row>
    <row r="23" spans="1:7" ht="25.5" x14ac:dyDescent="0.2">
      <c r="A23" s="169"/>
      <c r="B23" s="170"/>
      <c r="C23" s="171" t="s">
        <v>161</v>
      </c>
    </row>
    <row r="24" spans="1:7" ht="39.75" customHeight="1" x14ac:dyDescent="0.2">
      <c r="A24" s="161">
        <v>40821</v>
      </c>
      <c r="B24" s="10"/>
      <c r="C24" s="5" t="s">
        <v>162</v>
      </c>
    </row>
    <row r="25" spans="1:7" ht="25.5" x14ac:dyDescent="0.2">
      <c r="A25" s="172"/>
      <c r="B25" s="170"/>
      <c r="C25" s="171" t="s">
        <v>147</v>
      </c>
    </row>
    <row r="26" spans="1:7" x14ac:dyDescent="0.2">
      <c r="A26" s="166">
        <v>40830</v>
      </c>
      <c r="B26" s="173"/>
      <c r="C26" s="168" t="s">
        <v>149</v>
      </c>
    </row>
    <row r="27" spans="1:7" ht="38.25" x14ac:dyDescent="0.2">
      <c r="A27" s="153">
        <v>41639</v>
      </c>
      <c r="B27" s="10"/>
      <c r="C27" s="5" t="s">
        <v>165</v>
      </c>
    </row>
    <row r="28" spans="1:7" ht="25.5" x14ac:dyDescent="0.2">
      <c r="A28" s="152"/>
      <c r="B28" s="10"/>
      <c r="C28" s="5" t="s">
        <v>150</v>
      </c>
    </row>
    <row r="29" spans="1:7" x14ac:dyDescent="0.2">
      <c r="A29" s="152"/>
      <c r="B29" s="10"/>
      <c r="C29" s="5" t="s">
        <v>151</v>
      </c>
    </row>
    <row r="30" spans="1:7" ht="25.5" x14ac:dyDescent="0.2">
      <c r="A30" s="152"/>
      <c r="B30" s="10"/>
      <c r="C30" s="5" t="s">
        <v>152</v>
      </c>
    </row>
    <row r="31" spans="1:7" ht="40.5" customHeight="1" x14ac:dyDescent="0.2">
      <c r="A31" s="174"/>
      <c r="B31" s="170"/>
      <c r="C31" s="171" t="s">
        <v>163</v>
      </c>
    </row>
    <row r="32" spans="1:7" x14ac:dyDescent="0.2">
      <c r="A32" s="166">
        <v>42376</v>
      </c>
      <c r="B32" s="175">
        <v>1</v>
      </c>
      <c r="C32" s="168" t="s">
        <v>158</v>
      </c>
    </row>
    <row r="33" spans="1:3" ht="63.75" customHeight="1" x14ac:dyDescent="0.2">
      <c r="A33" s="155">
        <v>43160</v>
      </c>
      <c r="B33" s="156">
        <v>2</v>
      </c>
      <c r="C33" s="3" t="s">
        <v>153</v>
      </c>
    </row>
    <row r="34" spans="1:3" ht="38.25" x14ac:dyDescent="0.2">
      <c r="A34" s="170"/>
      <c r="B34" s="170"/>
      <c r="C34" s="171" t="s">
        <v>159</v>
      </c>
    </row>
    <row r="35" spans="1:3" ht="38.25" x14ac:dyDescent="0.2">
      <c r="A35" s="176">
        <v>44910</v>
      </c>
      <c r="B35" s="177">
        <v>3</v>
      </c>
      <c r="C35" s="4" t="s">
        <v>169</v>
      </c>
    </row>
    <row r="36" spans="1:3" ht="25.5" x14ac:dyDescent="0.2">
      <c r="C36" s="5" t="s">
        <v>170</v>
      </c>
    </row>
    <row r="37" spans="1:3" ht="38.25" x14ac:dyDescent="0.2">
      <c r="A37" s="178"/>
      <c r="B37" s="178"/>
      <c r="C37" s="179" t="s">
        <v>171</v>
      </c>
    </row>
    <row r="38" spans="1:3" x14ac:dyDescent="0.2">
      <c r="A38" s="188">
        <v>45043</v>
      </c>
      <c r="B38" s="189">
        <v>3.1</v>
      </c>
      <c r="C38" s="168" t="s">
        <v>214</v>
      </c>
    </row>
  </sheetData>
  <mergeCells count="2">
    <mergeCell ref="A4:C4"/>
    <mergeCell ref="A5:C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D0EA269A5504842BFF85ACC7E2D61AD" ma:contentTypeVersion="0" ma:contentTypeDescription="Create a new document." ma:contentTypeScope="" ma:versionID="968ebfd60111d84ba67e1e8cad85bfdc">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49ACC7A7-101B-456A-ADFE-9CF4E6AF7857}">
  <ds:schemaRefs>
    <ds:schemaRef ds:uri="http://schemas.microsoft.com/sharepoint/v3/contenttype/forms"/>
  </ds:schemaRefs>
</ds:datastoreItem>
</file>

<file path=customXml/itemProps2.xml><?xml version="1.0" encoding="utf-8"?>
<ds:datastoreItem xmlns:ds="http://schemas.openxmlformats.org/officeDocument/2006/customXml" ds:itemID="{339BB557-0E27-45AB-9FCC-F4CE8D00A665}">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9B67B088-FC64-42BA-AE0E-647DF8DFAD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Bioreactor Design</vt:lpstr>
      <vt:lpstr>Example Design</vt:lpstr>
      <vt:lpstr>Conductivity</vt:lpstr>
      <vt:lpstr>References</vt:lpstr>
      <vt:lpstr>Info</vt:lpstr>
      <vt:lpstr>'Bioreactor Design'!Print_Area</vt:lpstr>
      <vt:lpstr>'Example Design'!Print_Area</vt:lpstr>
      <vt:lpstr>Info!Print_Area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Anderson, Sarah - FPAC-NRCS, IA</cp:lastModifiedBy>
  <cp:lastPrinted>2023-02-24T17:24:18Z</cp:lastPrinted>
  <dcterms:created xsi:type="dcterms:W3CDTF">2011-01-06T19:26:46Z</dcterms:created>
  <dcterms:modified xsi:type="dcterms:W3CDTF">2023-05-17T13:59:26Z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0x0101000D0EA269A5504842BFF85ACC7E2D61AD</vt:lpwstr>
  </property>
</Properties>
</file>