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3735" yWindow="4065" windowWidth="18810" windowHeight="4215" tabRatio="924" activeTab="1"/>
  </bookViews>
  <sheets>
    <sheet name="Instructions" sheetId="22" r:id="rId1"/>
    <sheet name="Calculator" sheetId="20" r:id="rId2"/>
    <sheet name="SeedingPlan" sheetId="21" r:id="rId3"/>
    <sheet name="Grasses" sheetId="10" r:id="rId4"/>
    <sheet name="ForbsLegumes" sheetId="24" r:id="rId5"/>
    <sheet name="Woody" sheetId="25" r:id="rId6"/>
    <sheet name="Counties" sheetId="31" r:id="rId7"/>
    <sheet name="NameLookup" sheetId="26" r:id="rId8"/>
    <sheet name="Plant Name Synonyms" sheetId="32" r:id="rId9"/>
    <sheet name="Pollinator Mix Check Sheet" sheetId="34" r:id="rId10"/>
    <sheet name="327ConservationCoverCheckSheet" sheetId="35" r:id="rId11"/>
    <sheet name="643Rst&amp;ManR&amp;DeclHab Check Sheet" sheetId="36" r:id="rId12"/>
  </sheets>
  <externalReferences>
    <externalReference r:id="rId13"/>
  </externalReferences>
  <definedNames>
    <definedName name="_xlnm._FilterDatabase" localSheetId="1" hidden="1">Calculator!$A$2:$S$128</definedName>
    <definedName name="_xlnm._FilterDatabase" localSheetId="4" hidden="1">ForbsLegumes!$A$2:$U$351</definedName>
    <definedName name="_xlnm._FilterDatabase" localSheetId="3" hidden="1">Grasses!$A$2:$U$139</definedName>
    <definedName name="_xlnm._FilterDatabase" localSheetId="2" hidden="1">SeedingPlan!$B$13:$B$76</definedName>
    <definedName name="_xlnm._FilterDatabase" localSheetId="5" hidden="1">Woody!$A$2:$U$79</definedName>
    <definedName name="American_Beakgrain">Grasses!$B$148:$B$279</definedName>
    <definedName name="Arctic_Brome">Grasses!$B$147:$B$272</definedName>
    <definedName name="Common_Name">Grasses!$B$146:$B$275</definedName>
    <definedName name="County_List">Counties!$B$1:$B$101</definedName>
    <definedName name="County_Lookup">Counties!$A$1:$C$101</definedName>
    <definedName name="_xlnm.Criteria" localSheetId="1">Calculator!$A$134:$S$135</definedName>
    <definedName name="_xlnm.Criteria" localSheetId="4">ForbsLegumes!$A$355:$U$356</definedName>
    <definedName name="_xlnm.Criteria" localSheetId="3">Grasses!$A$141:$U$142</definedName>
    <definedName name="_xlnm.Criteria" localSheetId="5">Woody!$A$83:$U$84</definedName>
    <definedName name="_xlnm.Extract" localSheetId="4">ForbsLegumes!$A$360:$U$750</definedName>
    <definedName name="_xlnm.Extract" localSheetId="3">Grasses!$A$145:$U$350</definedName>
    <definedName name="_xlnm.Extract" localSheetId="5">Woody!$A$86:$U$200</definedName>
    <definedName name="Forb_Select">ForbsLegumes!$B$361:$B$709</definedName>
    <definedName name="Forb_Table">ForbsLegumes!$B$3:$AH$351</definedName>
    <definedName name="Grass_Select" localSheetId="1">Grasses!$B$146:$B$282</definedName>
    <definedName name="Grass_Select">Grasses!$B$146:$B$272</definedName>
    <definedName name="Grass_Table">Grasses!$B$3:$AH$137</definedName>
    <definedName name="practices">[1]Grasses!$G$4:$T$200</definedName>
    <definedName name="_xlnm.Print_Area" localSheetId="10">'327ConservationCoverCheckSheet'!$B$2:$E$28</definedName>
    <definedName name="_xlnm.Print_Area" localSheetId="11">'643Rst&amp;ManR&amp;DeclHab Check Sheet'!$B$2:$J$48</definedName>
    <definedName name="_xlnm.Print_Area" localSheetId="1">Calculator!$B$1:$M$165</definedName>
    <definedName name="_xlnm.Print_Area" localSheetId="4">ForbsLegumes!$A$1:$AH$668</definedName>
    <definedName name="_xlnm.Print_Area" localSheetId="3">Grasses!$A$1:$AH$275</definedName>
    <definedName name="_xlnm.Print_Area" localSheetId="0">Instructions!$A$1:$I$27</definedName>
    <definedName name="_xlnm.Print_Area" localSheetId="7">NameLookup!$A$4:$H$332</definedName>
    <definedName name="_xlnm.Print_Area" localSheetId="8">'Plant Name Synonyms'!$A$1:$K$5175</definedName>
    <definedName name="_xlnm.Print_Area" localSheetId="9">'Pollinator Mix Check Sheet'!$B$1:$J$35</definedName>
    <definedName name="_xlnm.Print_Area" localSheetId="2">SeedingPlan!$A$1:$F$114</definedName>
    <definedName name="_xlnm.Print_Area" localSheetId="5">Woody!$A$1:$AH$132</definedName>
    <definedName name="_xlnm.Print_Titles" localSheetId="4">ForbsLegumes!$2:$2</definedName>
    <definedName name="_xlnm.Print_Titles" localSheetId="3">Grasses!$2:$2</definedName>
    <definedName name="_xlnm.Print_Titles" localSheetId="7">NameLookup!$4:$5</definedName>
    <definedName name="_xlnm.Print_Titles" localSheetId="8">'Plant Name Synonyms'!$1:$2</definedName>
    <definedName name="_xlnm.Print_Titles" localSheetId="5">Woody!$2:$2</definedName>
    <definedName name="Woody_Select">Woody!$B$92:$B$200</definedName>
    <definedName name="Woody_Table">Woody!$B$3:$AH$79</definedName>
  </definedNames>
  <calcPr calcId="125725"/>
</workbook>
</file>

<file path=xl/calcChain.xml><?xml version="1.0" encoding="utf-8"?>
<calcChain xmlns="http://schemas.openxmlformats.org/spreadsheetml/2006/main">
  <c r="C31" i="36"/>
  <c r="C24"/>
  <c r="C32" s="1"/>
  <c r="C25" i="35"/>
  <c r="C24"/>
  <c r="C23"/>
  <c r="C21"/>
  <c r="C20"/>
  <c r="C19"/>
  <c r="C32" i="34"/>
  <c r="C31"/>
  <c r="C30"/>
  <c r="C27"/>
  <c r="C26"/>
  <c r="C28"/>
  <c r="B18" i="20"/>
  <c r="B16"/>
  <c r="B54"/>
  <c r="B52"/>
  <c r="B50"/>
  <c r="B48"/>
  <c r="B46"/>
  <c r="B44"/>
  <c r="B42"/>
  <c r="B40"/>
  <c r="B38"/>
  <c r="B36"/>
  <c r="B34"/>
  <c r="B32"/>
  <c r="B30"/>
  <c r="B28"/>
  <c r="B26"/>
  <c r="B24"/>
  <c r="B22"/>
  <c r="B20"/>
  <c r="K142" i="10"/>
  <c r="J142"/>
  <c r="I142"/>
  <c r="H142"/>
  <c r="G142"/>
  <c r="F142"/>
  <c r="E142"/>
  <c r="D142"/>
  <c r="Z107"/>
  <c r="Y41" i="25"/>
  <c r="Y37"/>
  <c r="Y6"/>
  <c r="Y65"/>
  <c r="AB67"/>
  <c r="AC67" s="1"/>
  <c r="AB32"/>
  <c r="AC32" s="1"/>
  <c r="AB59"/>
  <c r="AC59" s="1"/>
  <c r="AB40"/>
  <c r="AC40" s="1"/>
  <c r="AB34"/>
  <c r="AC34" s="1"/>
  <c r="AB48"/>
  <c r="AC48" s="1"/>
  <c r="V48" s="1"/>
  <c r="AB56"/>
  <c r="AC56"/>
  <c r="V56" s="1"/>
  <c r="AB41"/>
  <c r="AC41" s="1"/>
  <c r="V41" s="1"/>
  <c r="AB11"/>
  <c r="AC11"/>
  <c r="V11" s="1"/>
  <c r="AB44"/>
  <c r="AC44" s="1"/>
  <c r="V44" s="1"/>
  <c r="AB62"/>
  <c r="AC62"/>
  <c r="V62" s="1"/>
  <c r="AB61"/>
  <c r="AC61" s="1"/>
  <c r="V61" s="1"/>
  <c r="AB43"/>
  <c r="AC43"/>
  <c r="AB54"/>
  <c r="AC54"/>
  <c r="AB12"/>
  <c r="AC12"/>
  <c r="AB37"/>
  <c r="AC37"/>
  <c r="V37" s="1"/>
  <c r="AB24"/>
  <c r="AC24" s="1"/>
  <c r="AB73"/>
  <c r="AC73" s="1"/>
  <c r="AB46"/>
  <c r="AC46" s="1"/>
  <c r="AB64"/>
  <c r="AC64" s="1"/>
  <c r="AB36"/>
  <c r="AC36" s="1"/>
  <c r="V36" s="1"/>
  <c r="AB55"/>
  <c r="AC55"/>
  <c r="AB6"/>
  <c r="AC6" s="1"/>
  <c r="AB76"/>
  <c r="AC76" s="1"/>
  <c r="AB75"/>
  <c r="AC75" s="1"/>
  <c r="AB39"/>
  <c r="AC39" s="1"/>
  <c r="V39" s="1"/>
  <c r="AB28"/>
  <c r="AC28" s="1"/>
  <c r="AB63"/>
  <c r="AC63" s="1"/>
  <c r="AB58"/>
  <c r="AC58" s="1"/>
  <c r="V58" s="1"/>
  <c r="AB77"/>
  <c r="AC77" s="1"/>
  <c r="V77" s="1"/>
  <c r="AB23"/>
  <c r="AC23"/>
  <c r="V23" s="1"/>
  <c r="AB17"/>
  <c r="AC17" s="1"/>
  <c r="V17" s="1"/>
  <c r="AB72"/>
  <c r="AC72"/>
  <c r="AB31"/>
  <c r="AC31" s="1"/>
  <c r="AB14"/>
  <c r="AC14" s="1"/>
  <c r="V14" s="1"/>
  <c r="AB50"/>
  <c r="AC50" s="1"/>
  <c r="AB70"/>
  <c r="AC70" s="1"/>
  <c r="V70" s="1"/>
  <c r="AB30"/>
  <c r="AC30" s="1"/>
  <c r="V30" s="1"/>
  <c r="AB10"/>
  <c r="AC10"/>
  <c r="V10" s="1"/>
  <c r="AB52"/>
  <c r="AC52" s="1"/>
  <c r="V52" s="1"/>
  <c r="AB8"/>
  <c r="AC8" s="1"/>
  <c r="V8" s="1"/>
  <c r="AB13"/>
  <c r="AC13" s="1"/>
  <c r="V13" s="1"/>
  <c r="AB26"/>
  <c r="AC26" s="1"/>
  <c r="V26" s="1"/>
  <c r="AB27"/>
  <c r="AC27"/>
  <c r="AB74"/>
  <c r="AC74"/>
  <c r="V74" s="1"/>
  <c r="AB69"/>
  <c r="AC69" s="1"/>
  <c r="AB45"/>
  <c r="AC45" s="1"/>
  <c r="V45" s="1"/>
  <c r="AB22"/>
  <c r="AC22"/>
  <c r="AB25"/>
  <c r="AC25"/>
  <c r="V25" s="1"/>
  <c r="AB49"/>
  <c r="AC49" s="1"/>
  <c r="V49" s="1"/>
  <c r="AB53"/>
  <c r="AC53"/>
  <c r="V53" s="1"/>
  <c r="AB16"/>
  <c r="AC16" s="1"/>
  <c r="V16" s="1"/>
  <c r="AB35"/>
  <c r="AC35"/>
  <c r="AB51"/>
  <c r="AC51"/>
  <c r="AB33"/>
  <c r="AC33"/>
  <c r="AB47"/>
  <c r="AC47" s="1"/>
  <c r="AB68"/>
  <c r="AC68" s="1"/>
  <c r="AB38"/>
  <c r="AC38" s="1"/>
  <c r="AB60"/>
  <c r="AC60" s="1"/>
  <c r="V60" s="1"/>
  <c r="AB15"/>
  <c r="AC15"/>
  <c r="V15" s="1"/>
  <c r="AB21"/>
  <c r="AC21" s="1"/>
  <c r="AB20"/>
  <c r="AC20" s="1"/>
  <c r="AB19"/>
  <c r="AC19" s="1"/>
  <c r="AB71"/>
  <c r="AC71" s="1"/>
  <c r="AB29"/>
  <c r="AC29" s="1"/>
  <c r="AB7"/>
  <c r="AC7" s="1"/>
  <c r="V7" s="1"/>
  <c r="AB9"/>
  <c r="AC9" s="1"/>
  <c r="AB42"/>
  <c r="AC42" s="1"/>
  <c r="AB4"/>
  <c r="AC4" s="1"/>
  <c r="V4" s="1"/>
  <c r="AB18"/>
  <c r="AC18"/>
  <c r="V18" s="1"/>
  <c r="AB5"/>
  <c r="AC5" s="1"/>
  <c r="AB57"/>
  <c r="AC57" s="1"/>
  <c r="AB66"/>
  <c r="AC66" s="1"/>
  <c r="AB65"/>
  <c r="AC65" s="1"/>
  <c r="V65" s="1"/>
  <c r="K58"/>
  <c r="K17"/>
  <c r="K30"/>
  <c r="K8"/>
  <c r="K45"/>
  <c r="K25"/>
  <c r="K60"/>
  <c r="K20"/>
  <c r="K71"/>
  <c r="K65"/>
  <c r="Y18"/>
  <c r="K18"/>
  <c r="Y4"/>
  <c r="K4"/>
  <c r="Y7"/>
  <c r="K7"/>
  <c r="Y15"/>
  <c r="K15"/>
  <c r="Y53"/>
  <c r="K53"/>
  <c r="Y16"/>
  <c r="K16"/>
  <c r="Y49"/>
  <c r="K49"/>
  <c r="Y74"/>
  <c r="K74"/>
  <c r="Y26"/>
  <c r="K26"/>
  <c r="Y13"/>
  <c r="K13"/>
  <c r="Y52"/>
  <c r="K52"/>
  <c r="Y10"/>
  <c r="K10"/>
  <c r="Y70"/>
  <c r="K70"/>
  <c r="Y14"/>
  <c r="K14"/>
  <c r="Y23"/>
  <c r="K23"/>
  <c r="Y77"/>
  <c r="K77"/>
  <c r="K37"/>
  <c r="Y56"/>
  <c r="K56" s="1"/>
  <c r="K41"/>
  <c r="Y11"/>
  <c r="K11"/>
  <c r="Y44"/>
  <c r="K44"/>
  <c r="Y62"/>
  <c r="K62"/>
  <c r="Y61"/>
  <c r="K61"/>
  <c r="Y48"/>
  <c r="K48"/>
  <c r="Y39"/>
  <c r="K39"/>
  <c r="Y36"/>
  <c r="K36"/>
  <c r="Y8" i="10"/>
  <c r="K8"/>
  <c r="AB8"/>
  <c r="AC8"/>
  <c r="V8" s="1"/>
  <c r="AB19"/>
  <c r="AC19" s="1"/>
  <c r="V19" s="1"/>
  <c r="K19"/>
  <c r="AB235" i="24"/>
  <c r="AC235" s="1"/>
  <c r="V235" s="1"/>
  <c r="AB117"/>
  <c r="AC117"/>
  <c r="V117" s="1"/>
  <c r="AB294"/>
  <c r="AC294" s="1"/>
  <c r="V294" s="1"/>
  <c r="AB214"/>
  <c r="AC214"/>
  <c r="AB159"/>
  <c r="AC159"/>
  <c r="V159" s="1"/>
  <c r="AB13"/>
  <c r="AC13" s="1"/>
  <c r="V13" s="1"/>
  <c r="AB75"/>
  <c r="AC75" s="1"/>
  <c r="V75" s="1"/>
  <c r="AB6"/>
  <c r="AC6" s="1"/>
  <c r="V6" s="1"/>
  <c r="AB330"/>
  <c r="AC330" s="1"/>
  <c r="V330" s="1"/>
  <c r="AB331"/>
  <c r="AC331"/>
  <c r="V331" s="1"/>
  <c r="AB332"/>
  <c r="AC332" s="1"/>
  <c r="V332" s="1"/>
  <c r="AB333"/>
  <c r="AC333"/>
  <c r="V333" s="1"/>
  <c r="AB334"/>
  <c r="AC334" s="1"/>
  <c r="V334" s="1"/>
  <c r="AB335"/>
  <c r="AC335"/>
  <c r="V335" s="1"/>
  <c r="AB336"/>
  <c r="AC336" s="1"/>
  <c r="V336" s="1"/>
  <c r="AB337"/>
  <c r="AC337"/>
  <c r="V337" s="1"/>
  <c r="AB338"/>
  <c r="AC338" s="1"/>
  <c r="V338" s="1"/>
  <c r="AB339"/>
  <c r="AC339"/>
  <c r="V339" s="1"/>
  <c r="AB340"/>
  <c r="AC340" s="1"/>
  <c r="V340" s="1"/>
  <c r="AB341"/>
  <c r="AC341"/>
  <c r="V341" s="1"/>
  <c r="AB342"/>
  <c r="AC342" s="1"/>
  <c r="V342" s="1"/>
  <c r="AB343"/>
  <c r="AC343" s="1"/>
  <c r="V343" s="1"/>
  <c r="AB344"/>
  <c r="AC344" s="1"/>
  <c r="V344" s="1"/>
  <c r="AB345"/>
  <c r="AC345"/>
  <c r="V345" s="1"/>
  <c r="AB346"/>
  <c r="AC346" s="1"/>
  <c r="V346" s="1"/>
  <c r="AB347"/>
  <c r="AC347"/>
  <c r="V347" s="1"/>
  <c r="AB348"/>
  <c r="AC348" s="1"/>
  <c r="V348" s="1"/>
  <c r="AB349"/>
  <c r="AC349"/>
  <c r="V349" s="1"/>
  <c r="AB350"/>
  <c r="AC350" s="1"/>
  <c r="V350" s="1"/>
  <c r="AB351"/>
  <c r="AC351"/>
  <c r="V351" s="1"/>
  <c r="V214"/>
  <c r="K114" i="10"/>
  <c r="AB114"/>
  <c r="AC114"/>
  <c r="V114" s="1"/>
  <c r="AB22"/>
  <c r="AC22" s="1"/>
  <c r="V22" s="1"/>
  <c r="AB107"/>
  <c r="AC107"/>
  <c r="V107" s="1"/>
  <c r="AB59"/>
  <c r="AC59" s="1"/>
  <c r="V59" s="1"/>
  <c r="AB94"/>
  <c r="AC94" s="1"/>
  <c r="V94" s="1"/>
  <c r="Y22"/>
  <c r="K22" s="1"/>
  <c r="K107"/>
  <c r="Y59"/>
  <c r="K59"/>
  <c r="Y94"/>
  <c r="K94"/>
  <c r="K235" i="24"/>
  <c r="K117"/>
  <c r="K294"/>
  <c r="K214"/>
  <c r="K159"/>
  <c r="K13"/>
  <c r="K75"/>
  <c r="K6"/>
  <c r="K330"/>
  <c r="K331"/>
  <c r="K332"/>
  <c r="K333"/>
  <c r="K334"/>
  <c r="K335"/>
  <c r="K336"/>
  <c r="K337"/>
  <c r="K338"/>
  <c r="K339"/>
  <c r="K340"/>
  <c r="K341"/>
  <c r="K342"/>
  <c r="K343"/>
  <c r="K344"/>
  <c r="K345"/>
  <c r="K346"/>
  <c r="K347"/>
  <c r="K348"/>
  <c r="K349"/>
  <c r="K350"/>
  <c r="K351"/>
  <c r="K123"/>
  <c r="K60"/>
  <c r="K65"/>
  <c r="K276"/>
  <c r="K303"/>
  <c r="K8"/>
  <c r="K118"/>
  <c r="K93"/>
  <c r="K116"/>
  <c r="F142" i="20"/>
  <c r="F140"/>
  <c r="F138"/>
  <c r="F136"/>
  <c r="F134"/>
  <c r="F132"/>
  <c r="F130"/>
  <c r="F128"/>
  <c r="F126"/>
  <c r="F124"/>
  <c r="AB142" i="24"/>
  <c r="AC142" s="1"/>
  <c r="V142" s="1"/>
  <c r="Y142"/>
  <c r="K142"/>
  <c r="AB141"/>
  <c r="AC141"/>
  <c r="V141" s="1"/>
  <c r="Y141"/>
  <c r="K141" s="1"/>
  <c r="AB140"/>
  <c r="AC140" s="1"/>
  <c r="V140" s="1"/>
  <c r="Y140"/>
  <c r="K140"/>
  <c r="AB139"/>
  <c r="AC139"/>
  <c r="V139" s="1"/>
  <c r="Y139"/>
  <c r="K139" s="1"/>
  <c r="AB138"/>
  <c r="AC138" s="1"/>
  <c r="V138" s="1"/>
  <c r="Y138"/>
  <c r="K138"/>
  <c r="AB137"/>
  <c r="AC137"/>
  <c r="V137" s="1"/>
  <c r="Y137"/>
  <c r="K137" s="1"/>
  <c r="AB136"/>
  <c r="AC136" s="1"/>
  <c r="V136" s="1"/>
  <c r="Z136"/>
  <c r="K136"/>
  <c r="AB135"/>
  <c r="AC135"/>
  <c r="V135" s="1"/>
  <c r="Y135"/>
  <c r="K135" s="1"/>
  <c r="AB134"/>
  <c r="AC134" s="1"/>
  <c r="V134" s="1"/>
  <c r="Y134"/>
  <c r="K134"/>
  <c r="AB133"/>
  <c r="AC133"/>
  <c r="V133" s="1"/>
  <c r="Y133"/>
  <c r="K133" s="1"/>
  <c r="AB123"/>
  <c r="AC123" s="1"/>
  <c r="V123" s="1"/>
  <c r="AB60"/>
  <c r="AC60"/>
  <c r="V60" s="1"/>
  <c r="AB65"/>
  <c r="AC65" s="1"/>
  <c r="V65" s="1"/>
  <c r="AB276"/>
  <c r="AC276"/>
  <c r="V276" s="1"/>
  <c r="AB303"/>
  <c r="AC303" s="1"/>
  <c r="V303" s="1"/>
  <c r="AB8"/>
  <c r="AC8"/>
  <c r="V8" s="1"/>
  <c r="AB118"/>
  <c r="AC118" s="1"/>
  <c r="V118" s="1"/>
  <c r="AB93"/>
  <c r="AC93"/>
  <c r="V93" s="1"/>
  <c r="AB116"/>
  <c r="AC116" s="1"/>
  <c r="V116" s="1"/>
  <c r="M53" i="20"/>
  <c r="M54" s="1"/>
  <c r="M51"/>
  <c r="M52" s="1"/>
  <c r="M49"/>
  <c r="M50" s="1"/>
  <c r="M47"/>
  <c r="M48" s="1"/>
  <c r="M45"/>
  <c r="M46" s="1"/>
  <c r="M43"/>
  <c r="M44" s="1"/>
  <c r="M41"/>
  <c r="M42" s="1"/>
  <c r="M39"/>
  <c r="M40" s="1"/>
  <c r="M37"/>
  <c r="M38" s="1"/>
  <c r="M35"/>
  <c r="M36" s="1"/>
  <c r="M33"/>
  <c r="M34" s="1"/>
  <c r="M31"/>
  <c r="M32" s="1"/>
  <c r="M29"/>
  <c r="M30" s="1"/>
  <c r="M27"/>
  <c r="M28" s="1"/>
  <c r="M25"/>
  <c r="M26" s="1"/>
  <c r="M23"/>
  <c r="M24" s="1"/>
  <c r="M21"/>
  <c r="M22" s="1"/>
  <c r="M19"/>
  <c r="M20" s="1"/>
  <c r="M17"/>
  <c r="M18" s="1"/>
  <c r="C54"/>
  <c r="C52"/>
  <c r="C50"/>
  <c r="C48"/>
  <c r="C46"/>
  <c r="C44"/>
  <c r="C42"/>
  <c r="C40"/>
  <c r="C38"/>
  <c r="C36"/>
  <c r="C34"/>
  <c r="C32"/>
  <c r="C30"/>
  <c r="C28"/>
  <c r="C26"/>
  <c r="C24"/>
  <c r="C22"/>
  <c r="C20"/>
  <c r="C18"/>
  <c r="C16"/>
  <c r="M15"/>
  <c r="M16" s="1"/>
  <c r="AB31" i="10"/>
  <c r="AC31" s="1"/>
  <c r="V31" s="1"/>
  <c r="K31"/>
  <c r="AB133"/>
  <c r="AC133" s="1"/>
  <c r="V133" s="1"/>
  <c r="AB37"/>
  <c r="AC37"/>
  <c r="V37" s="1"/>
  <c r="AB117"/>
  <c r="AC117" s="1"/>
  <c r="V117" s="1"/>
  <c r="AB122"/>
  <c r="AC122"/>
  <c r="V122" s="1"/>
  <c r="AB67"/>
  <c r="AC67" s="1"/>
  <c r="V67" s="1"/>
  <c r="AB77"/>
  <c r="AC77"/>
  <c r="V77" s="1"/>
  <c r="AB27"/>
  <c r="AC27" s="1"/>
  <c r="V27" s="1"/>
  <c r="AB38"/>
  <c r="AC38"/>
  <c r="V38" s="1"/>
  <c r="AB25"/>
  <c r="AC25" s="1"/>
  <c r="V25" s="1"/>
  <c r="AB104"/>
  <c r="AC104"/>
  <c r="V104" s="1"/>
  <c r="K133"/>
  <c r="K37"/>
  <c r="K117"/>
  <c r="K122"/>
  <c r="K67"/>
  <c r="K77"/>
  <c r="K27"/>
  <c r="K38"/>
  <c r="K25"/>
  <c r="K104"/>
  <c r="Y14" i="24"/>
  <c r="Y22" i="25"/>
  <c r="K22"/>
  <c r="Y12" i="10"/>
  <c r="C27" i="36"/>
  <c r="C26"/>
  <c r="C30" s="1"/>
  <c r="B10" i="20"/>
  <c r="AB139" i="10"/>
  <c r="AC139"/>
  <c r="V139" s="1"/>
  <c r="Y139"/>
  <c r="K139" s="1"/>
  <c r="AB138"/>
  <c r="AC138" s="1"/>
  <c r="V138" s="1"/>
  <c r="Y138"/>
  <c r="K138"/>
  <c r="AB137"/>
  <c r="AC137"/>
  <c r="V137" s="1"/>
  <c r="Y137"/>
  <c r="K137" s="1"/>
  <c r="AB136"/>
  <c r="AC136" s="1"/>
  <c r="V136" s="1"/>
  <c r="Y136"/>
  <c r="K136"/>
  <c r="AB135"/>
  <c r="AC135"/>
  <c r="V135" s="1"/>
  <c r="Y135"/>
  <c r="K135" s="1"/>
  <c r="AB134"/>
  <c r="AC134" s="1"/>
  <c r="V134"/>
  <c r="Y134"/>
  <c r="K134"/>
  <c r="AB132"/>
  <c r="AC132"/>
  <c r="V132" s="1"/>
  <c r="Y132"/>
  <c r="K132" s="1"/>
  <c r="AB131"/>
  <c r="AC131" s="1"/>
  <c r="V131" s="1"/>
  <c r="Y131"/>
  <c r="K131"/>
  <c r="AB130"/>
  <c r="AC130"/>
  <c r="V130" s="1"/>
  <c r="Y130"/>
  <c r="K130" s="1"/>
  <c r="AB129"/>
  <c r="AC129" s="1"/>
  <c r="V129"/>
  <c r="K129"/>
  <c r="AB128"/>
  <c r="AC128" s="1"/>
  <c r="V128" s="1"/>
  <c r="Y128"/>
  <c r="K128"/>
  <c r="AB127"/>
  <c r="AC127"/>
  <c r="V127" s="1"/>
  <c r="Y127"/>
  <c r="K127" s="1"/>
  <c r="AB126"/>
  <c r="AC126" s="1"/>
  <c r="V126"/>
  <c r="Y126"/>
  <c r="K126"/>
  <c r="AB125"/>
  <c r="AC125"/>
  <c r="V125" s="1"/>
  <c r="Y125"/>
  <c r="K125" s="1"/>
  <c r="AB124"/>
  <c r="AC124" s="1"/>
  <c r="V124" s="1"/>
  <c r="Y124"/>
  <c r="K124"/>
  <c r="AB123"/>
  <c r="AC123"/>
  <c r="V123" s="1"/>
  <c r="Y123"/>
  <c r="K123" s="1"/>
  <c r="AB121"/>
  <c r="AC121" s="1"/>
  <c r="V121"/>
  <c r="Y121"/>
  <c r="K121"/>
  <c r="AB120"/>
  <c r="AC120"/>
  <c r="V120" s="1"/>
  <c r="K120"/>
  <c r="AB119"/>
  <c r="AC119"/>
  <c r="V119" s="1"/>
  <c r="Y119"/>
  <c r="K119" s="1"/>
  <c r="AB118"/>
  <c r="AC118" s="1"/>
  <c r="V118"/>
  <c r="Y118"/>
  <c r="K118"/>
  <c r="AB116"/>
  <c r="AC116"/>
  <c r="V116" s="1"/>
  <c r="Y116"/>
  <c r="K116" s="1"/>
  <c r="AB115"/>
  <c r="AC115" s="1"/>
  <c r="V115" s="1"/>
  <c r="Y115"/>
  <c r="K115"/>
  <c r="AB113"/>
  <c r="AC113"/>
  <c r="V113" s="1"/>
  <c r="Y113"/>
  <c r="K113" s="1"/>
  <c r="AB112"/>
  <c r="AC112" s="1"/>
  <c r="V112"/>
  <c r="Y112"/>
  <c r="K112"/>
  <c r="AB111"/>
  <c r="AC111"/>
  <c r="Y111"/>
  <c r="K111"/>
  <c r="AB110"/>
  <c r="AC110"/>
  <c r="V110" s="1"/>
  <c r="Y110"/>
  <c r="K110" s="1"/>
  <c r="AB109"/>
  <c r="AC109" s="1"/>
  <c r="V109" s="1"/>
  <c r="Y109"/>
  <c r="K109"/>
  <c r="AB108"/>
  <c r="AC108"/>
  <c r="V108" s="1"/>
  <c r="Y108"/>
  <c r="K108" s="1"/>
  <c r="AB106"/>
  <c r="AC106" s="1"/>
  <c r="V111"/>
  <c r="Y106"/>
  <c r="K106"/>
  <c r="AB105"/>
  <c r="AC105"/>
  <c r="V105" s="1"/>
  <c r="Y105"/>
  <c r="K105" s="1"/>
  <c r="AB103"/>
  <c r="AC103" s="1"/>
  <c r="V103" s="1"/>
  <c r="Y103"/>
  <c r="K103"/>
  <c r="AB102"/>
  <c r="AC102"/>
  <c r="V102" s="1"/>
  <c r="Y102"/>
  <c r="K102" s="1"/>
  <c r="AB101"/>
  <c r="AC101" s="1"/>
  <c r="V101"/>
  <c r="Y101"/>
  <c r="K101"/>
  <c r="AB100"/>
  <c r="AC100"/>
  <c r="V100" s="1"/>
  <c r="Y100"/>
  <c r="K100" s="1"/>
  <c r="AB99"/>
  <c r="AC99" s="1"/>
  <c r="V99" s="1"/>
  <c r="Y99"/>
  <c r="K99"/>
  <c r="AB98"/>
  <c r="AC98"/>
  <c r="V98" s="1"/>
  <c r="Y98"/>
  <c r="K98" s="1"/>
  <c r="AB97"/>
  <c r="AC97" s="1"/>
  <c r="V97"/>
  <c r="Y97"/>
  <c r="K97"/>
  <c r="AB96"/>
  <c r="AC96"/>
  <c r="V96" s="1"/>
  <c r="Y96"/>
  <c r="K96" s="1"/>
  <c r="AB95"/>
  <c r="AC95" s="1"/>
  <c r="V95" s="1"/>
  <c r="Y95"/>
  <c r="K95"/>
  <c r="AB93"/>
  <c r="AC93"/>
  <c r="V93" s="1"/>
  <c r="Y93"/>
  <c r="K93" s="1"/>
  <c r="AB92"/>
  <c r="AC92" s="1"/>
  <c r="V92"/>
  <c r="Y92"/>
  <c r="K92"/>
  <c r="AB91"/>
  <c r="AC91"/>
  <c r="V91" s="1"/>
  <c r="Y91"/>
  <c r="K91" s="1"/>
  <c r="AB90"/>
  <c r="AC90" s="1"/>
  <c r="V90" s="1"/>
  <c r="Y90"/>
  <c r="K90"/>
  <c r="AB89"/>
  <c r="AC89"/>
  <c r="V89" s="1"/>
  <c r="Y89"/>
  <c r="K89" s="1"/>
  <c r="AB88"/>
  <c r="AC88" s="1"/>
  <c r="V88"/>
  <c r="Y88"/>
  <c r="K88"/>
  <c r="AB87"/>
  <c r="AC87"/>
  <c r="V87" s="1"/>
  <c r="Y87"/>
  <c r="K87" s="1"/>
  <c r="AB86"/>
  <c r="AC86" s="1"/>
  <c r="V86" s="1"/>
  <c r="Y86"/>
  <c r="K86"/>
  <c r="AB85"/>
  <c r="AC85"/>
  <c r="V85" s="1"/>
  <c r="Y85"/>
  <c r="K85" s="1"/>
  <c r="AB84"/>
  <c r="AC84" s="1"/>
  <c r="V84"/>
  <c r="Y84"/>
  <c r="K84"/>
  <c r="AB83"/>
  <c r="AC83"/>
  <c r="V83" s="1"/>
  <c r="Y83"/>
  <c r="K83" s="1"/>
  <c r="AB82"/>
  <c r="AC82" s="1"/>
  <c r="V82" s="1"/>
  <c r="K82"/>
  <c r="AB81"/>
  <c r="AC81" s="1"/>
  <c r="V81"/>
  <c r="Y81"/>
  <c r="K81"/>
  <c r="AB80"/>
  <c r="AC80"/>
  <c r="V80" s="1"/>
  <c r="Y80"/>
  <c r="K80" s="1"/>
  <c r="AB79"/>
  <c r="AC79" s="1"/>
  <c r="V79" s="1"/>
  <c r="Y79"/>
  <c r="K79"/>
  <c r="AB78"/>
  <c r="AC78"/>
  <c r="V78" s="1"/>
  <c r="Y78"/>
  <c r="K78" s="1"/>
  <c r="AB76"/>
  <c r="AC76" s="1"/>
  <c r="V76"/>
  <c r="Y76"/>
  <c r="K76"/>
  <c r="AB75"/>
  <c r="AC75"/>
  <c r="V75" s="1"/>
  <c r="Y75"/>
  <c r="K75" s="1"/>
  <c r="AB74"/>
  <c r="AC74" s="1"/>
  <c r="V74" s="1"/>
  <c r="Y74"/>
  <c r="K74"/>
  <c r="AB73"/>
  <c r="AC73"/>
  <c r="V73" s="1"/>
  <c r="Y73"/>
  <c r="K73" s="1"/>
  <c r="AB72"/>
  <c r="AC72" s="1"/>
  <c r="V72"/>
  <c r="Y72"/>
  <c r="K72"/>
  <c r="AB71"/>
  <c r="AC71"/>
  <c r="V71" s="1"/>
  <c r="Y71"/>
  <c r="K71" s="1"/>
  <c r="AB70"/>
  <c r="AC70" s="1"/>
  <c r="V70" s="1"/>
  <c r="Y70"/>
  <c r="K70"/>
  <c r="AB69"/>
  <c r="AC69"/>
  <c r="V69" s="1"/>
  <c r="Y69"/>
  <c r="K69" s="1"/>
  <c r="AB68"/>
  <c r="AC68" s="1"/>
  <c r="V68"/>
  <c r="Y68"/>
  <c r="K68"/>
  <c r="AB66"/>
  <c r="AC66"/>
  <c r="V66" s="1"/>
  <c r="Y66"/>
  <c r="K66" s="1"/>
  <c r="AB65"/>
  <c r="AC65" s="1"/>
  <c r="V65" s="1"/>
  <c r="Y65"/>
  <c r="K65"/>
  <c r="AB64"/>
  <c r="AC64"/>
  <c r="V64" s="1"/>
  <c r="K64"/>
  <c r="AB63"/>
  <c r="AC63"/>
  <c r="V63" s="1"/>
  <c r="Y63"/>
  <c r="K63" s="1"/>
  <c r="AB62"/>
  <c r="AC62" s="1"/>
  <c r="V62" s="1"/>
  <c r="Y62"/>
  <c r="K62"/>
  <c r="AB61"/>
  <c r="AC61"/>
  <c r="V61" s="1"/>
  <c r="Y61"/>
  <c r="K61" s="1"/>
  <c r="AB60"/>
  <c r="AC60" s="1"/>
  <c r="V60"/>
  <c r="Y60"/>
  <c r="K60"/>
  <c r="AB58"/>
  <c r="AC58"/>
  <c r="V58" s="1"/>
  <c r="Y58"/>
  <c r="K58" s="1"/>
  <c r="AB57"/>
  <c r="AC57" s="1"/>
  <c r="V57" s="1"/>
  <c r="Y57"/>
  <c r="K57"/>
  <c r="AB56"/>
  <c r="AC56"/>
  <c r="V56" s="1"/>
  <c r="Y56"/>
  <c r="K56" s="1"/>
  <c r="AB55"/>
  <c r="AC55" s="1"/>
  <c r="V55"/>
  <c r="Y55"/>
  <c r="K55"/>
  <c r="AB54"/>
  <c r="AC54"/>
  <c r="V54" s="1"/>
  <c r="Y54"/>
  <c r="K54" s="1"/>
  <c r="AB53"/>
  <c r="AC53" s="1"/>
  <c r="V53" s="1"/>
  <c r="Y53"/>
  <c r="K53"/>
  <c r="AB52"/>
  <c r="AC52"/>
  <c r="V52" s="1"/>
  <c r="Y52"/>
  <c r="K52" s="1"/>
  <c r="AB51"/>
  <c r="AC51" s="1"/>
  <c r="V51"/>
  <c r="Y51"/>
  <c r="K51"/>
  <c r="AB50"/>
  <c r="AC50"/>
  <c r="V50" s="1"/>
  <c r="Y50"/>
  <c r="K50" s="1"/>
  <c r="V106"/>
  <c r="K84" i="25"/>
  <c r="K356" i="24"/>
  <c r="K17"/>
  <c r="K52"/>
  <c r="K64"/>
  <c r="K95"/>
  <c r="K239"/>
  <c r="E356"/>
  <c r="D356"/>
  <c r="I15" i="20"/>
  <c r="E16"/>
  <c r="Y7" i="10"/>
  <c r="K7" s="1"/>
  <c r="AB101" i="24"/>
  <c r="AB7"/>
  <c r="AC7"/>
  <c r="V7" s="1"/>
  <c r="AB9"/>
  <c r="AB10"/>
  <c r="AC10"/>
  <c r="V10" s="1"/>
  <c r="AB11"/>
  <c r="AB12"/>
  <c r="AC12"/>
  <c r="V12" s="1"/>
  <c r="AB14"/>
  <c r="AB15"/>
  <c r="AC15"/>
  <c r="V15" s="1"/>
  <c r="AB16"/>
  <c r="AB17"/>
  <c r="AC17"/>
  <c r="V17" s="1"/>
  <c r="AB18"/>
  <c r="AB19"/>
  <c r="AC19"/>
  <c r="V19" s="1"/>
  <c r="AB20"/>
  <c r="AB21"/>
  <c r="AC21"/>
  <c r="V21" s="1"/>
  <c r="AB22"/>
  <c r="AB23"/>
  <c r="AC23"/>
  <c r="V23" s="1"/>
  <c r="AB24"/>
  <c r="AB25"/>
  <c r="AC25"/>
  <c r="V25" s="1"/>
  <c r="AB26"/>
  <c r="AB27"/>
  <c r="AC27"/>
  <c r="V27" s="1"/>
  <c r="AB28"/>
  <c r="AB29"/>
  <c r="AC29"/>
  <c r="V29" s="1"/>
  <c r="AB30"/>
  <c r="AB31"/>
  <c r="AC31"/>
  <c r="V31" s="1"/>
  <c r="AB32"/>
  <c r="AB33"/>
  <c r="AC33"/>
  <c r="V33" s="1"/>
  <c r="AB34"/>
  <c r="AB35"/>
  <c r="AC35"/>
  <c r="V35" s="1"/>
  <c r="AB36"/>
  <c r="AB37"/>
  <c r="AC37"/>
  <c r="V37" s="1"/>
  <c r="AB38"/>
  <c r="AB39"/>
  <c r="AC39"/>
  <c r="V39" s="1"/>
  <c r="AB40"/>
  <c r="AB41"/>
  <c r="AC41"/>
  <c r="V41" s="1"/>
  <c r="AB42"/>
  <c r="AB43"/>
  <c r="AC43"/>
  <c r="V43" s="1"/>
  <c r="AB44"/>
  <c r="AB45"/>
  <c r="AC45"/>
  <c r="V45" s="1"/>
  <c r="AB47"/>
  <c r="AB48"/>
  <c r="AC48"/>
  <c r="V48" s="1"/>
  <c r="AB49"/>
  <c r="AB50"/>
  <c r="AC50"/>
  <c r="V50" s="1"/>
  <c r="AB51"/>
  <c r="AB52"/>
  <c r="AC52"/>
  <c r="V52" s="1"/>
  <c r="AB53"/>
  <c r="AB54"/>
  <c r="AC54"/>
  <c r="V54" s="1"/>
  <c r="AB55"/>
  <c r="AB56"/>
  <c r="AC56"/>
  <c r="V56" s="1"/>
  <c r="AB57"/>
  <c r="AB58"/>
  <c r="AC58"/>
  <c r="V58" s="1"/>
  <c r="AB59"/>
  <c r="AB61"/>
  <c r="AC61"/>
  <c r="V61" s="1"/>
  <c r="AB62"/>
  <c r="AB63"/>
  <c r="AC63"/>
  <c r="V63" s="1"/>
  <c r="AB64"/>
  <c r="AB66"/>
  <c r="AC66"/>
  <c r="V66" s="1"/>
  <c r="AB67"/>
  <c r="AB68"/>
  <c r="AC68"/>
  <c r="V68" s="1"/>
  <c r="AB69"/>
  <c r="AB71"/>
  <c r="AC71"/>
  <c r="V71" s="1"/>
  <c r="AB72"/>
  <c r="AB73"/>
  <c r="AC73"/>
  <c r="V73" s="1"/>
  <c r="AB74"/>
  <c r="AB76"/>
  <c r="AC76"/>
  <c r="V76" s="1"/>
  <c r="AB77"/>
  <c r="AB78"/>
  <c r="AC78"/>
  <c r="V78" s="1"/>
  <c r="AB79"/>
  <c r="AB80"/>
  <c r="AC80"/>
  <c r="V80" s="1"/>
  <c r="AB81"/>
  <c r="AB82"/>
  <c r="AC82"/>
  <c r="V82" s="1"/>
  <c r="AB83"/>
  <c r="AB84"/>
  <c r="AC84"/>
  <c r="V84" s="1"/>
  <c r="AB85"/>
  <c r="AB86"/>
  <c r="AC86"/>
  <c r="V86" s="1"/>
  <c r="AB87"/>
  <c r="AB88"/>
  <c r="AC88"/>
  <c r="V88" s="1"/>
  <c r="AB89"/>
  <c r="AB90"/>
  <c r="AC90"/>
  <c r="V90" s="1"/>
  <c r="AB200"/>
  <c r="AB91"/>
  <c r="AC91"/>
  <c r="V91" s="1"/>
  <c r="AB92"/>
  <c r="AB94"/>
  <c r="AC94"/>
  <c r="V94" s="1"/>
  <c r="AB95"/>
  <c r="AB96"/>
  <c r="AC96"/>
  <c r="V96" s="1"/>
  <c r="AB97"/>
  <c r="AB98"/>
  <c r="AC98"/>
  <c r="V98" s="1"/>
  <c r="AB99"/>
  <c r="AB100"/>
  <c r="AC100"/>
  <c r="V100" s="1"/>
  <c r="AB102"/>
  <c r="AB103"/>
  <c r="AC103"/>
  <c r="V103" s="1"/>
  <c r="AB104"/>
  <c r="AB105"/>
  <c r="AC105"/>
  <c r="V105" s="1"/>
  <c r="AB106"/>
  <c r="AB107"/>
  <c r="AC107"/>
  <c r="V107" s="1"/>
  <c r="AB108"/>
  <c r="AB109"/>
  <c r="AC109"/>
  <c r="V109" s="1"/>
  <c r="AB110"/>
  <c r="AB111"/>
  <c r="AC111"/>
  <c r="V111" s="1"/>
  <c r="AB112"/>
  <c r="AB113"/>
  <c r="AC113"/>
  <c r="V113" s="1"/>
  <c r="AB114"/>
  <c r="AB115"/>
  <c r="AC115"/>
  <c r="V115" s="1"/>
  <c r="AB119"/>
  <c r="AB120"/>
  <c r="AC120"/>
  <c r="V120" s="1"/>
  <c r="AB121"/>
  <c r="AB122"/>
  <c r="AC122"/>
  <c r="V122" s="1"/>
  <c r="AB124"/>
  <c r="AB125"/>
  <c r="AC125"/>
  <c r="V125" s="1"/>
  <c r="AB126"/>
  <c r="AB127"/>
  <c r="AC127"/>
  <c r="V127" s="1"/>
  <c r="AB128"/>
  <c r="AB129"/>
  <c r="AC129"/>
  <c r="V129" s="1"/>
  <c r="AB130"/>
  <c r="AB131"/>
  <c r="AC131"/>
  <c r="V131" s="1"/>
  <c r="AB132"/>
  <c r="AB143"/>
  <c r="AB144"/>
  <c r="AC144" s="1"/>
  <c r="V144" s="1"/>
  <c r="AB145"/>
  <c r="AB146"/>
  <c r="AC146" s="1"/>
  <c r="V146" s="1"/>
  <c r="AB147"/>
  <c r="AB148"/>
  <c r="AC148" s="1"/>
  <c r="AB149"/>
  <c r="AB150"/>
  <c r="AC150"/>
  <c r="V150" s="1"/>
  <c r="AB151"/>
  <c r="AB152"/>
  <c r="AC152"/>
  <c r="V152" s="1"/>
  <c r="AB153"/>
  <c r="AB154"/>
  <c r="AC154"/>
  <c r="V154" s="1"/>
  <c r="AB155"/>
  <c r="AB156"/>
  <c r="AC156"/>
  <c r="V156" s="1"/>
  <c r="AB157"/>
  <c r="AB158"/>
  <c r="AC158"/>
  <c r="V158" s="1"/>
  <c r="AB160"/>
  <c r="AB161"/>
  <c r="AC161"/>
  <c r="V161" s="1"/>
  <c r="AB162"/>
  <c r="AB163"/>
  <c r="AC163"/>
  <c r="V163" s="1"/>
  <c r="AB164"/>
  <c r="AB165"/>
  <c r="AC165"/>
  <c r="V165" s="1"/>
  <c r="AB166"/>
  <c r="AB167"/>
  <c r="AC167"/>
  <c r="V167" s="1"/>
  <c r="AB168"/>
  <c r="AB169"/>
  <c r="AC169"/>
  <c r="V169" s="1"/>
  <c r="AB170"/>
  <c r="AB296"/>
  <c r="AC296"/>
  <c r="V296" s="1"/>
  <c r="AB171"/>
  <c r="AB172"/>
  <c r="AC172"/>
  <c r="V172" s="1"/>
  <c r="AB70"/>
  <c r="AB174"/>
  <c r="AC174"/>
  <c r="V174" s="1"/>
  <c r="AB173"/>
  <c r="AB175"/>
  <c r="AC175"/>
  <c r="V175" s="1"/>
  <c r="AB176"/>
  <c r="AB177"/>
  <c r="AC177"/>
  <c r="V177" s="1"/>
  <c r="AB178"/>
  <c r="AB179"/>
  <c r="AC179"/>
  <c r="V179" s="1"/>
  <c r="AB180"/>
  <c r="AB181"/>
  <c r="AC181"/>
  <c r="V181" s="1"/>
  <c r="AB182"/>
  <c r="AB183"/>
  <c r="AC183"/>
  <c r="V183" s="1"/>
  <c r="AB184"/>
  <c r="AB185"/>
  <c r="AC185"/>
  <c r="V185" s="1"/>
  <c r="AB186"/>
  <c r="AB187"/>
  <c r="AC187"/>
  <c r="V187" s="1"/>
  <c r="AB188"/>
  <c r="AB189"/>
  <c r="AC189"/>
  <c r="V189" s="1"/>
  <c r="AB190"/>
  <c r="AB191"/>
  <c r="AC191"/>
  <c r="V191" s="1"/>
  <c r="AB192"/>
  <c r="AB193"/>
  <c r="AC193"/>
  <c r="V193" s="1"/>
  <c r="AB194"/>
  <c r="AB195"/>
  <c r="AC195"/>
  <c r="V195" s="1"/>
  <c r="AB264"/>
  <c r="AB196"/>
  <c r="AC196"/>
  <c r="V196" s="1"/>
  <c r="AB197"/>
  <c r="AB198"/>
  <c r="AC198"/>
  <c r="V198" s="1"/>
  <c r="AB199"/>
  <c r="AB201"/>
  <c r="AC201"/>
  <c r="V201" s="1"/>
  <c r="AB202"/>
  <c r="AB203"/>
  <c r="AC203"/>
  <c r="V203" s="1"/>
  <c r="AB204"/>
  <c r="AB205"/>
  <c r="AC205"/>
  <c r="V205" s="1"/>
  <c r="AB206"/>
  <c r="AB207"/>
  <c r="AC207"/>
  <c r="V207" s="1"/>
  <c r="AB208"/>
  <c r="AB209"/>
  <c r="AC209"/>
  <c r="V209" s="1"/>
  <c r="AB210"/>
  <c r="AB211"/>
  <c r="AC211"/>
  <c r="V211" s="1"/>
  <c r="AB212"/>
  <c r="AB213"/>
  <c r="AC213"/>
  <c r="V213" s="1"/>
  <c r="AB215"/>
  <c r="AB216"/>
  <c r="AC216"/>
  <c r="V216" s="1"/>
  <c r="AB217"/>
  <c r="AB218"/>
  <c r="AC218"/>
  <c r="V218" s="1"/>
  <c r="AB219"/>
  <c r="AB220"/>
  <c r="AC220"/>
  <c r="V220" s="1"/>
  <c r="AB221"/>
  <c r="AB222"/>
  <c r="AC222"/>
  <c r="V222" s="1"/>
  <c r="AB223"/>
  <c r="AB224"/>
  <c r="AC224"/>
  <c r="V224" s="1"/>
  <c r="AB225"/>
  <c r="AB226"/>
  <c r="AC226"/>
  <c r="V226" s="1"/>
  <c r="AB227"/>
  <c r="AB228"/>
  <c r="AC228"/>
  <c r="V228" s="1"/>
  <c r="AB229"/>
  <c r="AB230"/>
  <c r="AC230"/>
  <c r="V230" s="1"/>
  <c r="AB231"/>
  <c r="AB232"/>
  <c r="AC232"/>
  <c r="V232" s="1"/>
  <c r="AB233"/>
  <c r="AB234"/>
  <c r="AB236"/>
  <c r="AC236" s="1"/>
  <c r="V236" s="1"/>
  <c r="AB237"/>
  <c r="AB238"/>
  <c r="AC238" s="1"/>
  <c r="V238" s="1"/>
  <c r="AB239"/>
  <c r="AB240"/>
  <c r="AC240" s="1"/>
  <c r="V240" s="1"/>
  <c r="AB241"/>
  <c r="AB242"/>
  <c r="AC242" s="1"/>
  <c r="V242" s="1"/>
  <c r="AB243"/>
  <c r="AB244"/>
  <c r="AC244" s="1"/>
  <c r="V244" s="1"/>
  <c r="AB247"/>
  <c r="AB245"/>
  <c r="AC245" s="1"/>
  <c r="V245" s="1"/>
  <c r="AB246"/>
  <c r="AB248"/>
  <c r="AC248" s="1"/>
  <c r="V248" s="1"/>
  <c r="AB249"/>
  <c r="AB250"/>
  <c r="AC250" s="1"/>
  <c r="V250" s="1"/>
  <c r="AB251"/>
  <c r="AB252"/>
  <c r="AC252" s="1"/>
  <c r="V252" s="1"/>
  <c r="AB253"/>
  <c r="AB254"/>
  <c r="AC254" s="1"/>
  <c r="V254" s="1"/>
  <c r="AB255"/>
  <c r="AB256"/>
  <c r="AC256" s="1"/>
  <c r="V256" s="1"/>
  <c r="AB257"/>
  <c r="AB258"/>
  <c r="AC258" s="1"/>
  <c r="V258" s="1"/>
  <c r="AB259"/>
  <c r="AB260"/>
  <c r="AC260" s="1"/>
  <c r="V260" s="1"/>
  <c r="AB261"/>
  <c r="AB262"/>
  <c r="AC262" s="1"/>
  <c r="V262" s="1"/>
  <c r="AB263"/>
  <c r="AB265"/>
  <c r="AC265" s="1"/>
  <c r="V265" s="1"/>
  <c r="AB266"/>
  <c r="AB267"/>
  <c r="AC267" s="1"/>
  <c r="V267" s="1"/>
  <c r="AB268"/>
  <c r="AB269"/>
  <c r="AC269" s="1"/>
  <c r="V269" s="1"/>
  <c r="AB270"/>
  <c r="AB271"/>
  <c r="AC271" s="1"/>
  <c r="V271" s="1"/>
  <c r="AB272"/>
  <c r="AB273"/>
  <c r="AC273" s="1"/>
  <c r="V273" s="1"/>
  <c r="AB274"/>
  <c r="AB275"/>
  <c r="AC275" s="1"/>
  <c r="V275" s="1"/>
  <c r="AB277"/>
  <c r="AB278"/>
  <c r="AC278" s="1"/>
  <c r="V278" s="1"/>
  <c r="AB279"/>
  <c r="AB280"/>
  <c r="AC280" s="1"/>
  <c r="V280" s="1"/>
  <c r="AB281"/>
  <c r="AB282"/>
  <c r="AC282" s="1"/>
  <c r="V282" s="1"/>
  <c r="AB283"/>
  <c r="AB284"/>
  <c r="AC284" s="1"/>
  <c r="V284" s="1"/>
  <c r="AB285"/>
  <c r="AB286"/>
  <c r="AC286" s="1"/>
  <c r="V286" s="1"/>
  <c r="AB287"/>
  <c r="AB288"/>
  <c r="AC288" s="1"/>
  <c r="V288" s="1"/>
  <c r="AB289"/>
  <c r="AB290"/>
  <c r="AC290" s="1"/>
  <c r="V290" s="1"/>
  <c r="AB291"/>
  <c r="AB292"/>
  <c r="AC292" s="1"/>
  <c r="V292" s="1"/>
  <c r="AB293"/>
  <c r="AB295"/>
  <c r="AC295" s="1"/>
  <c r="V295" s="1"/>
  <c r="AB297"/>
  <c r="AB298"/>
  <c r="AC298" s="1"/>
  <c r="V298" s="1"/>
  <c r="AB299"/>
  <c r="AB300"/>
  <c r="AC300" s="1"/>
  <c r="V300" s="1"/>
  <c r="AB301"/>
  <c r="AB302"/>
  <c r="AC302" s="1"/>
  <c r="V302" s="1"/>
  <c r="AB304"/>
  <c r="AB305"/>
  <c r="AC305" s="1"/>
  <c r="V305" s="1"/>
  <c r="AB306"/>
  <c r="AB307"/>
  <c r="AC307" s="1"/>
  <c r="V307" s="1"/>
  <c r="AB308"/>
  <c r="AB309"/>
  <c r="AC309" s="1"/>
  <c r="V309" s="1"/>
  <c r="AB310"/>
  <c r="AB311"/>
  <c r="AC311" s="1"/>
  <c r="V311" s="1"/>
  <c r="AB312"/>
  <c r="AB313"/>
  <c r="AC313" s="1"/>
  <c r="V313" s="1"/>
  <c r="AB314"/>
  <c r="AB315"/>
  <c r="AC315" s="1"/>
  <c r="V315" s="1"/>
  <c r="AB316"/>
  <c r="AB317"/>
  <c r="AC317" s="1"/>
  <c r="V317" s="1"/>
  <c r="AB318"/>
  <c r="AB319"/>
  <c r="AC319" s="1"/>
  <c r="V319" s="1"/>
  <c r="AB320"/>
  <c r="AB321"/>
  <c r="AC321" s="1"/>
  <c r="V321" s="1"/>
  <c r="AB322"/>
  <c r="AB323"/>
  <c r="AC323" s="1"/>
  <c r="V323" s="1"/>
  <c r="AB324"/>
  <c r="AB325"/>
  <c r="AC325" s="1"/>
  <c r="V325" s="1"/>
  <c r="AB326"/>
  <c r="AB46"/>
  <c r="AC46" s="1"/>
  <c r="V46" s="1"/>
  <c r="AB327"/>
  <c r="AB5"/>
  <c r="AC5" s="1"/>
  <c r="V5" s="1"/>
  <c r="AB4"/>
  <c r="AB49" i="10"/>
  <c r="AC49" s="1"/>
  <c r="V49" s="1"/>
  <c r="Y49"/>
  <c r="K49"/>
  <c r="AB48"/>
  <c r="AC48"/>
  <c r="V48" s="1"/>
  <c r="Y48"/>
  <c r="K48" s="1"/>
  <c r="AB47"/>
  <c r="AC47" s="1"/>
  <c r="V47" s="1"/>
  <c r="K47"/>
  <c r="AB46"/>
  <c r="AC46" s="1"/>
  <c r="V46" s="1"/>
  <c r="Y46"/>
  <c r="K46"/>
  <c r="AB45"/>
  <c r="AC45"/>
  <c r="V45" s="1"/>
  <c r="Y45"/>
  <c r="K45" s="1"/>
  <c r="AB44"/>
  <c r="AC44" s="1"/>
  <c r="V44" s="1"/>
  <c r="Y44"/>
  <c r="K44"/>
  <c r="AB43"/>
  <c r="AC43"/>
  <c r="V43" s="1"/>
  <c r="Y43"/>
  <c r="K43" s="1"/>
  <c r="AB42"/>
  <c r="AC42" s="1"/>
  <c r="V42" s="1"/>
  <c r="Y42"/>
  <c r="K42"/>
  <c r="AB41"/>
  <c r="AC41"/>
  <c r="V41" s="1"/>
  <c r="Y41"/>
  <c r="K41" s="1"/>
  <c r="AB40"/>
  <c r="AC40" s="1"/>
  <c r="V40" s="1"/>
  <c r="Y40"/>
  <c r="K40"/>
  <c r="AB39"/>
  <c r="AC39"/>
  <c r="V39" s="1"/>
  <c r="Y39"/>
  <c r="K39" s="1"/>
  <c r="AB36"/>
  <c r="AC36" s="1"/>
  <c r="V36" s="1"/>
  <c r="Y36"/>
  <c r="K36"/>
  <c r="AB35"/>
  <c r="AC35"/>
  <c r="V35" s="1"/>
  <c r="Y35"/>
  <c r="K35" s="1"/>
  <c r="AB34"/>
  <c r="AC34" s="1"/>
  <c r="V34" s="1"/>
  <c r="Y34"/>
  <c r="K34"/>
  <c r="AB33"/>
  <c r="AC33"/>
  <c r="V33" s="1"/>
  <c r="Y33"/>
  <c r="K33" s="1"/>
  <c r="AB32"/>
  <c r="AC32" s="1"/>
  <c r="V32" s="1"/>
  <c r="Y32"/>
  <c r="K32"/>
  <c r="AB30"/>
  <c r="AC30"/>
  <c r="V30" s="1"/>
  <c r="Y30"/>
  <c r="K30" s="1"/>
  <c r="AB29"/>
  <c r="AC29" s="1"/>
  <c r="V29" s="1"/>
  <c r="Y29"/>
  <c r="K29"/>
  <c r="AB28"/>
  <c r="AC28"/>
  <c r="V28" s="1"/>
  <c r="Y28"/>
  <c r="K28" s="1"/>
  <c r="AB26"/>
  <c r="AC26" s="1"/>
  <c r="V26" s="1"/>
  <c r="Y26"/>
  <c r="K26"/>
  <c r="AB24"/>
  <c r="AC24"/>
  <c r="V24" s="1"/>
  <c r="Y24"/>
  <c r="K24" s="1"/>
  <c r="AB23"/>
  <c r="AC23" s="1"/>
  <c r="V23" s="1"/>
  <c r="Y23"/>
  <c r="K23"/>
  <c r="AB21"/>
  <c r="AC21"/>
  <c r="V21" s="1"/>
  <c r="K21"/>
  <c r="AB20"/>
  <c r="AC20"/>
  <c r="V20" s="1"/>
  <c r="Y20"/>
  <c r="K20" s="1"/>
  <c r="AB18"/>
  <c r="AC18" s="1"/>
  <c r="V18" s="1"/>
  <c r="Y18"/>
  <c r="K18"/>
  <c r="AB17"/>
  <c r="AC17"/>
  <c r="V17" s="1"/>
  <c r="Y17"/>
  <c r="K17" s="1"/>
  <c r="AB16"/>
  <c r="AC16" s="1"/>
  <c r="V16" s="1"/>
  <c r="Y16"/>
  <c r="K16"/>
  <c r="AB15"/>
  <c r="AC15"/>
  <c r="V15" s="1"/>
  <c r="Y15"/>
  <c r="K15" s="1"/>
  <c r="AB14"/>
  <c r="AC14" s="1"/>
  <c r="V14" s="1"/>
  <c r="Y14"/>
  <c r="K14"/>
  <c r="AB13"/>
  <c r="AC13"/>
  <c r="V13" s="1"/>
  <c r="Y13"/>
  <c r="K13" s="1"/>
  <c r="AB12"/>
  <c r="AC12" s="1"/>
  <c r="V12" s="1"/>
  <c r="K12"/>
  <c r="AB11"/>
  <c r="AC11" s="1"/>
  <c r="V11" s="1"/>
  <c r="Y11"/>
  <c r="K11"/>
  <c r="AB10"/>
  <c r="AC10"/>
  <c r="V10" s="1"/>
  <c r="K10"/>
  <c r="AB9"/>
  <c r="AC9"/>
  <c r="V9" s="1"/>
  <c r="Y9"/>
  <c r="K9" s="1"/>
  <c r="AB7"/>
  <c r="AC7" s="1"/>
  <c r="V7" s="1"/>
  <c r="AB6"/>
  <c r="AC6"/>
  <c r="V6" s="1"/>
  <c r="Y6"/>
  <c r="K6" s="1"/>
  <c r="AB5"/>
  <c r="AC5" s="1"/>
  <c r="V5" s="1"/>
  <c r="Y5"/>
  <c r="K5"/>
  <c r="AB4"/>
  <c r="AC4"/>
  <c r="V4" s="1"/>
  <c r="Y4"/>
  <c r="K4" s="1"/>
  <c r="V76" i="25"/>
  <c r="Y76"/>
  <c r="K76"/>
  <c r="V75"/>
  <c r="Y75"/>
  <c r="K75" s="1"/>
  <c r="V73"/>
  <c r="Y73"/>
  <c r="K73"/>
  <c r="V72"/>
  <c r="Y72"/>
  <c r="K72" s="1"/>
  <c r="V71"/>
  <c r="V69"/>
  <c r="Y69"/>
  <c r="K69" s="1"/>
  <c r="V68"/>
  <c r="Y68"/>
  <c r="K68"/>
  <c r="V67"/>
  <c r="Y67"/>
  <c r="K67" s="1"/>
  <c r="V66"/>
  <c r="Y66"/>
  <c r="K66"/>
  <c r="V64"/>
  <c r="Y64"/>
  <c r="K64" s="1"/>
  <c r="V63"/>
  <c r="Y63"/>
  <c r="K63"/>
  <c r="V59"/>
  <c r="Y59"/>
  <c r="K59" s="1"/>
  <c r="V57"/>
  <c r="Y57"/>
  <c r="K57"/>
  <c r="V55"/>
  <c r="Y55"/>
  <c r="K55" s="1"/>
  <c r="V54"/>
  <c r="Y54"/>
  <c r="K54"/>
  <c r="V51"/>
  <c r="Y51"/>
  <c r="K51" s="1"/>
  <c r="V50"/>
  <c r="Y50"/>
  <c r="K50"/>
  <c r="V47"/>
  <c r="Y47"/>
  <c r="K47" s="1"/>
  <c r="V46"/>
  <c r="Y46"/>
  <c r="K46"/>
  <c r="V43"/>
  <c r="Y43"/>
  <c r="K43" s="1"/>
  <c r="V42"/>
  <c r="Y42"/>
  <c r="K42"/>
  <c r="V40"/>
  <c r="Y40"/>
  <c r="K40" s="1"/>
  <c r="V38"/>
  <c r="Y38"/>
  <c r="K38"/>
  <c r="V35"/>
  <c r="Y35"/>
  <c r="K35" s="1"/>
  <c r="V34"/>
  <c r="K34"/>
  <c r="V33"/>
  <c r="Y33"/>
  <c r="K33"/>
  <c r="V32"/>
  <c r="Y32"/>
  <c r="K32" s="1"/>
  <c r="V31"/>
  <c r="Y31"/>
  <c r="K31"/>
  <c r="V29"/>
  <c r="Y29"/>
  <c r="K29" s="1"/>
  <c r="V28"/>
  <c r="Y28"/>
  <c r="K28"/>
  <c r="V27"/>
  <c r="Y27"/>
  <c r="K27" s="1"/>
  <c r="V24"/>
  <c r="Y24"/>
  <c r="K24"/>
  <c r="V22"/>
  <c r="V21"/>
  <c r="Y21"/>
  <c r="K21"/>
  <c r="V20"/>
  <c r="V19"/>
  <c r="Y19"/>
  <c r="K19"/>
  <c r="V12"/>
  <c r="Y12"/>
  <c r="K12" s="1"/>
  <c r="V9"/>
  <c r="Y9"/>
  <c r="K9"/>
  <c r="V6"/>
  <c r="K6"/>
  <c r="V5"/>
  <c r="Y5"/>
  <c r="K5" s="1"/>
  <c r="AC327" i="24"/>
  <c r="V327" s="1"/>
  <c r="K327"/>
  <c r="Y46"/>
  <c r="K46"/>
  <c r="AC326"/>
  <c r="V326"/>
  <c r="Y326"/>
  <c r="K326"/>
  <c r="Y325"/>
  <c r="K325"/>
  <c r="AC324"/>
  <c r="V324"/>
  <c r="Y324"/>
  <c r="K324"/>
  <c r="Y323"/>
  <c r="K323"/>
  <c r="AC322"/>
  <c r="V322"/>
  <c r="Y322"/>
  <c r="K322"/>
  <c r="Y321"/>
  <c r="K321"/>
  <c r="AC320"/>
  <c r="V320"/>
  <c r="Y320"/>
  <c r="K320"/>
  <c r="Y319"/>
  <c r="K319"/>
  <c r="AC318"/>
  <c r="V318"/>
  <c r="Y318"/>
  <c r="K318"/>
  <c r="Y317"/>
  <c r="K317"/>
  <c r="AC316"/>
  <c r="V316"/>
  <c r="Y316"/>
  <c r="K316"/>
  <c r="Y315"/>
  <c r="K315"/>
  <c r="AC314"/>
  <c r="V314"/>
  <c r="Y314"/>
  <c r="K314"/>
  <c r="K313"/>
  <c r="AC312"/>
  <c r="V312" s="1"/>
  <c r="Y312"/>
  <c r="K312" s="1"/>
  <c r="Y311"/>
  <c r="K311" s="1"/>
  <c r="AC310"/>
  <c r="V310" s="1"/>
  <c r="Y310"/>
  <c r="K310" s="1"/>
  <c r="Y309"/>
  <c r="K309" s="1"/>
  <c r="AC308"/>
  <c r="V308" s="1"/>
  <c r="Y308"/>
  <c r="K308" s="1"/>
  <c r="Y307"/>
  <c r="K307" s="1"/>
  <c r="AC306"/>
  <c r="V306" s="1"/>
  <c r="Y306"/>
  <c r="K306" s="1"/>
  <c r="Y305"/>
  <c r="K305" s="1"/>
  <c r="AC304"/>
  <c r="V304" s="1"/>
  <c r="Y304"/>
  <c r="K304" s="1"/>
  <c r="Y302"/>
  <c r="K302" s="1"/>
  <c r="AC301"/>
  <c r="V301" s="1"/>
  <c r="Y301"/>
  <c r="K301" s="1"/>
  <c r="Y300"/>
  <c r="K300" s="1"/>
  <c r="AC299"/>
  <c r="V299" s="1"/>
  <c r="Y299"/>
  <c r="K299" s="1"/>
  <c r="Y298"/>
  <c r="K298" s="1"/>
  <c r="AC297"/>
  <c r="V297" s="1"/>
  <c r="Y297"/>
  <c r="K297" s="1"/>
  <c r="Y295"/>
  <c r="K295" s="1"/>
  <c r="AC293"/>
  <c r="V293" s="1"/>
  <c r="Y293"/>
  <c r="K293" s="1"/>
  <c r="Y292"/>
  <c r="K292" s="1"/>
  <c r="AC291"/>
  <c r="V291" s="1"/>
  <c r="Y291"/>
  <c r="K291" s="1"/>
  <c r="Y290"/>
  <c r="K290" s="1"/>
  <c r="AC289"/>
  <c r="V289" s="1"/>
  <c r="Y289"/>
  <c r="K289" s="1"/>
  <c r="Y288"/>
  <c r="K288" s="1"/>
  <c r="AC287"/>
  <c r="V287"/>
  <c r="Y287"/>
  <c r="K287"/>
  <c r="Y286"/>
  <c r="K286"/>
  <c r="AC285"/>
  <c r="V285"/>
  <c r="Y285"/>
  <c r="K285"/>
  <c r="Y284"/>
  <c r="K284"/>
  <c r="AC283"/>
  <c r="V283"/>
  <c r="Y283"/>
  <c r="K283"/>
  <c r="Y282"/>
  <c r="K282"/>
  <c r="AC281"/>
  <c r="V281"/>
  <c r="Y281"/>
  <c r="K281"/>
  <c r="Y280"/>
  <c r="K280"/>
  <c r="AC279"/>
  <c r="V279"/>
  <c r="Y279"/>
  <c r="K279"/>
  <c r="Y278"/>
  <c r="K278"/>
  <c r="AC277"/>
  <c r="V277"/>
  <c r="Y277"/>
  <c r="K277"/>
  <c r="Y275"/>
  <c r="K275"/>
  <c r="AC274"/>
  <c r="V274"/>
  <c r="Y274"/>
  <c r="K274"/>
  <c r="Y273"/>
  <c r="K273"/>
  <c r="AC272"/>
  <c r="V272"/>
  <c r="Y272"/>
  <c r="K272"/>
  <c r="Y271"/>
  <c r="K271"/>
  <c r="AC270"/>
  <c r="V270"/>
  <c r="Y270"/>
  <c r="K270"/>
  <c r="Y269"/>
  <c r="K269"/>
  <c r="AC268"/>
  <c r="V268"/>
  <c r="Y268"/>
  <c r="K268"/>
  <c r="Y267"/>
  <c r="K267"/>
  <c r="AC266"/>
  <c r="V266"/>
  <c r="Y266"/>
  <c r="K266"/>
  <c r="Y265"/>
  <c r="K265"/>
  <c r="AC263"/>
  <c r="V263"/>
  <c r="Y263"/>
  <c r="K263"/>
  <c r="Y262"/>
  <c r="K262"/>
  <c r="AC261"/>
  <c r="V261"/>
  <c r="K261"/>
  <c r="Y260"/>
  <c r="K260" s="1"/>
  <c r="AC259"/>
  <c r="V259" s="1"/>
  <c r="Y259"/>
  <c r="K259" s="1"/>
  <c r="Y258"/>
  <c r="K258" s="1"/>
  <c r="AC257"/>
  <c r="V257" s="1"/>
  <c r="Y257"/>
  <c r="K257" s="1"/>
  <c r="Y256"/>
  <c r="K256" s="1"/>
  <c r="AC255"/>
  <c r="V255" s="1"/>
  <c r="Y255"/>
  <c r="K255" s="1"/>
  <c r="Y254"/>
  <c r="K254" s="1"/>
  <c r="AC253"/>
  <c r="V253" s="1"/>
  <c r="Y253"/>
  <c r="K253" s="1"/>
  <c r="Y252"/>
  <c r="K252" s="1"/>
  <c r="AC251"/>
  <c r="V251" s="1"/>
  <c r="Y251"/>
  <c r="K251" s="1"/>
  <c r="Y250"/>
  <c r="K250" s="1"/>
  <c r="AC249"/>
  <c r="V249" s="1"/>
  <c r="Y249"/>
  <c r="K249" s="1"/>
  <c r="Y248"/>
  <c r="K248" s="1"/>
  <c r="AC246"/>
  <c r="V246" s="1"/>
  <c r="Y246"/>
  <c r="K246" s="1"/>
  <c r="Y245"/>
  <c r="K245" s="1"/>
  <c r="AC247"/>
  <c r="V247" s="1"/>
  <c r="Y247"/>
  <c r="K247" s="1"/>
  <c r="Y244"/>
  <c r="K244" s="1"/>
  <c r="AC243"/>
  <c r="V243" s="1"/>
  <c r="Y243"/>
  <c r="K243" s="1"/>
  <c r="Y242"/>
  <c r="K242" s="1"/>
  <c r="AC241"/>
  <c r="V241" s="1"/>
  <c r="Y241"/>
  <c r="K241" s="1"/>
  <c r="Y240"/>
  <c r="K240" s="1"/>
  <c r="AC239"/>
  <c r="V239" s="1"/>
  <c r="Z239"/>
  <c r="Y238"/>
  <c r="K238"/>
  <c r="AC237"/>
  <c r="V237"/>
  <c r="Y237"/>
  <c r="K237"/>
  <c r="Y236"/>
  <c r="K236"/>
  <c r="AC234"/>
  <c r="V234"/>
  <c r="Y234"/>
  <c r="K234"/>
  <c r="AC233"/>
  <c r="V233"/>
  <c r="Y233"/>
  <c r="K233"/>
  <c r="Y232"/>
  <c r="K232"/>
  <c r="AC231"/>
  <c r="V231"/>
  <c r="Y231"/>
  <c r="K231"/>
  <c r="Y230"/>
  <c r="K230"/>
  <c r="AC229"/>
  <c r="V229"/>
  <c r="Y229"/>
  <c r="K229"/>
  <c r="Y228"/>
  <c r="K228"/>
  <c r="AC227"/>
  <c r="V227"/>
  <c r="Y227"/>
  <c r="K227"/>
  <c r="Y226"/>
  <c r="K226"/>
  <c r="AC225"/>
  <c r="V225"/>
  <c r="Y225"/>
  <c r="K225"/>
  <c r="Y224"/>
  <c r="K224"/>
  <c r="AC223"/>
  <c r="V223"/>
  <c r="Y223"/>
  <c r="K223"/>
  <c r="Y222"/>
  <c r="K222"/>
  <c r="AC221"/>
  <c r="V221"/>
  <c r="Y221"/>
  <c r="K221"/>
  <c r="Y220"/>
  <c r="K220"/>
  <c r="AC219"/>
  <c r="V219"/>
  <c r="Y219"/>
  <c r="K219"/>
  <c r="Y218"/>
  <c r="K218"/>
  <c r="AC217"/>
  <c r="V217"/>
  <c r="Y217"/>
  <c r="K217"/>
  <c r="Y216"/>
  <c r="K216"/>
  <c r="AC215"/>
  <c r="V215"/>
  <c r="Y215"/>
  <c r="K215"/>
  <c r="Y213"/>
  <c r="K213"/>
  <c r="AC212"/>
  <c r="V212"/>
  <c r="Y212"/>
  <c r="K212"/>
  <c r="Y211"/>
  <c r="K211"/>
  <c r="AC210"/>
  <c r="V210"/>
  <c r="Y210"/>
  <c r="K210"/>
  <c r="K209"/>
  <c r="AC208"/>
  <c r="V208" s="1"/>
  <c r="Y208"/>
  <c r="K208" s="1"/>
  <c r="Y207"/>
  <c r="K207" s="1"/>
  <c r="AC206"/>
  <c r="V206" s="1"/>
  <c r="Y206"/>
  <c r="K206" s="1"/>
  <c r="K205"/>
  <c r="AC204"/>
  <c r="V204"/>
  <c r="Y204"/>
  <c r="K204"/>
  <c r="Y203"/>
  <c r="K203"/>
  <c r="AC202"/>
  <c r="V202"/>
  <c r="Y202"/>
  <c r="K202"/>
  <c r="Y201"/>
  <c r="K201"/>
  <c r="AC199"/>
  <c r="V199"/>
  <c r="Y199"/>
  <c r="K199"/>
  <c r="Y198"/>
  <c r="K198"/>
  <c r="AC197"/>
  <c r="V197"/>
  <c r="Y197"/>
  <c r="K197"/>
  <c r="Y196"/>
  <c r="K196"/>
  <c r="AC264"/>
  <c r="V264"/>
  <c r="Y264"/>
  <c r="K264"/>
  <c r="Y195"/>
  <c r="K195"/>
  <c r="AC194"/>
  <c r="V194"/>
  <c r="Y194"/>
  <c r="K194"/>
  <c r="Y193"/>
  <c r="K193"/>
  <c r="AC192"/>
  <c r="V192"/>
  <c r="Y192"/>
  <c r="K192"/>
  <c r="Y191"/>
  <c r="K191"/>
  <c r="AC190"/>
  <c r="V190"/>
  <c r="Y190"/>
  <c r="K190"/>
  <c r="Y189"/>
  <c r="K189"/>
  <c r="AC188"/>
  <c r="V188"/>
  <c r="Y188"/>
  <c r="K188"/>
  <c r="Y187"/>
  <c r="K187"/>
  <c r="AC186"/>
  <c r="V186"/>
  <c r="Y186"/>
  <c r="K186"/>
  <c r="Y185"/>
  <c r="K185"/>
  <c r="AC184"/>
  <c r="V184"/>
  <c r="Y184"/>
  <c r="K184"/>
  <c r="Y183"/>
  <c r="K183"/>
  <c r="AC182"/>
  <c r="V182"/>
  <c r="Y182"/>
  <c r="K182"/>
  <c r="K181"/>
  <c r="AC180"/>
  <c r="V180" s="1"/>
  <c r="Y180"/>
  <c r="K180" s="1"/>
  <c r="Y179"/>
  <c r="K179" s="1"/>
  <c r="AC178"/>
  <c r="V178" s="1"/>
  <c r="Y178"/>
  <c r="K178" s="1"/>
  <c r="Y177"/>
  <c r="K177" s="1"/>
  <c r="AC176"/>
  <c r="V176" s="1"/>
  <c r="Y176"/>
  <c r="K176" s="1"/>
  <c r="Y175"/>
  <c r="K175" s="1"/>
  <c r="AC173"/>
  <c r="V173" s="1"/>
  <c r="Y173"/>
  <c r="K173" s="1"/>
  <c r="Y174"/>
  <c r="K174" s="1"/>
  <c r="AC70"/>
  <c r="V70" s="1"/>
  <c r="Y70"/>
  <c r="K70" s="1"/>
  <c r="Y172"/>
  <c r="K172" s="1"/>
  <c r="AC171"/>
  <c r="V171" s="1"/>
  <c r="Y171"/>
  <c r="K171" s="1"/>
  <c r="Y296"/>
  <c r="K296" s="1"/>
  <c r="AC170"/>
  <c r="V170" s="1"/>
  <c r="Y170"/>
  <c r="K170" s="1"/>
  <c r="Y169"/>
  <c r="K169" s="1"/>
  <c r="AC168"/>
  <c r="V168" s="1"/>
  <c r="Y168"/>
  <c r="K168" s="1"/>
  <c r="Y167"/>
  <c r="K167" s="1"/>
  <c r="AC166"/>
  <c r="V166" s="1"/>
  <c r="Y166"/>
  <c r="K166" s="1"/>
  <c r="Y165"/>
  <c r="K165" s="1"/>
  <c r="AC164"/>
  <c r="V164" s="1"/>
  <c r="Y164"/>
  <c r="K164" s="1"/>
  <c r="Y163"/>
  <c r="K163" s="1"/>
  <c r="AC162"/>
  <c r="V162" s="1"/>
  <c r="Y162"/>
  <c r="K162" s="1"/>
  <c r="Y161"/>
  <c r="K161" s="1"/>
  <c r="AC160"/>
  <c r="V160" s="1"/>
  <c r="Y160"/>
  <c r="K160" s="1"/>
  <c r="Y158"/>
  <c r="K158" s="1"/>
  <c r="AC157"/>
  <c r="V157" s="1"/>
  <c r="Y157"/>
  <c r="K157" s="1"/>
  <c r="Y156"/>
  <c r="K156" s="1"/>
  <c r="AC155"/>
  <c r="V155" s="1"/>
  <c r="K155"/>
  <c r="Y154"/>
  <c r="K154"/>
  <c r="AC153"/>
  <c r="V153"/>
  <c r="Y153"/>
  <c r="K153"/>
  <c r="Y152"/>
  <c r="K152"/>
  <c r="AC151"/>
  <c r="V151"/>
  <c r="Y151"/>
  <c r="K151"/>
  <c r="Y150"/>
  <c r="K150"/>
  <c r="AC149"/>
  <c r="V149"/>
  <c r="Y149"/>
  <c r="K149"/>
  <c r="Y148"/>
  <c r="K148"/>
  <c r="AC147"/>
  <c r="V147"/>
  <c r="Y147"/>
  <c r="K147"/>
  <c r="Y146"/>
  <c r="K146"/>
  <c r="AC145"/>
  <c r="V145"/>
  <c r="Y145"/>
  <c r="K145"/>
  <c r="Y144"/>
  <c r="K144"/>
  <c r="AC143"/>
  <c r="V143"/>
  <c r="Y143"/>
  <c r="K143"/>
  <c r="AC132"/>
  <c r="V132"/>
  <c r="Y132"/>
  <c r="K132"/>
  <c r="Y131"/>
  <c r="K131"/>
  <c r="AC130"/>
  <c r="V130"/>
  <c r="Y130"/>
  <c r="K130"/>
  <c r="Y129"/>
  <c r="K129"/>
  <c r="AC128"/>
  <c r="V128"/>
  <c r="Y128"/>
  <c r="K128"/>
  <c r="Y127"/>
  <c r="K127"/>
  <c r="AC126"/>
  <c r="V126"/>
  <c r="Y126"/>
  <c r="K126"/>
  <c r="Y125"/>
  <c r="K125"/>
  <c r="AC124"/>
  <c r="V124"/>
  <c r="Y124"/>
  <c r="K124"/>
  <c r="K122"/>
  <c r="AC121"/>
  <c r="V121" s="1"/>
  <c r="Y121"/>
  <c r="K121" s="1"/>
  <c r="Y120"/>
  <c r="K120" s="1"/>
  <c r="AC119"/>
  <c r="V119" s="1"/>
  <c r="Y119"/>
  <c r="K119" s="1"/>
  <c r="Y115"/>
  <c r="K115" s="1"/>
  <c r="AC114"/>
  <c r="V114" s="1"/>
  <c r="Y114"/>
  <c r="K114" s="1"/>
  <c r="Y113"/>
  <c r="K113" s="1"/>
  <c r="AC112"/>
  <c r="V112" s="1"/>
  <c r="Y112"/>
  <c r="K112" s="1"/>
  <c r="K111"/>
  <c r="AC110"/>
  <c r="V110"/>
  <c r="Y110"/>
  <c r="K110"/>
  <c r="Y109"/>
  <c r="K109"/>
  <c r="AC108"/>
  <c r="V108"/>
  <c r="Y108"/>
  <c r="K108"/>
  <c r="Y107"/>
  <c r="K107"/>
  <c r="AC106"/>
  <c r="V106"/>
  <c r="Y106"/>
  <c r="K106"/>
  <c r="Y105"/>
  <c r="K105"/>
  <c r="AC104"/>
  <c r="V104"/>
  <c r="Y104"/>
  <c r="K104"/>
  <c r="Y103"/>
  <c r="K103"/>
  <c r="AC102"/>
  <c r="V102"/>
  <c r="Y102"/>
  <c r="K102"/>
  <c r="Y100"/>
  <c r="K100"/>
  <c r="AC99"/>
  <c r="V99"/>
  <c r="Y99"/>
  <c r="K99"/>
  <c r="Y98"/>
  <c r="K98"/>
  <c r="AC97"/>
  <c r="V97"/>
  <c r="Y97"/>
  <c r="K97"/>
  <c r="Y96"/>
  <c r="K96"/>
  <c r="AC95"/>
  <c r="V95"/>
  <c r="Z95"/>
  <c r="Y94"/>
  <c r="K94" s="1"/>
  <c r="AC92"/>
  <c r="V92" s="1"/>
  <c r="Y92"/>
  <c r="K92" s="1"/>
  <c r="Y91"/>
  <c r="K91" s="1"/>
  <c r="AC200"/>
  <c r="V200" s="1"/>
  <c r="Y200"/>
  <c r="K200" s="1"/>
  <c r="Y90"/>
  <c r="K90" s="1"/>
  <c r="AC89"/>
  <c r="V89" s="1"/>
  <c r="Y89"/>
  <c r="K89" s="1"/>
  <c r="Y88"/>
  <c r="K88" s="1"/>
  <c r="AC87"/>
  <c r="V87" s="1"/>
  <c r="Y87"/>
  <c r="K87" s="1"/>
  <c r="Y86"/>
  <c r="K86" s="1"/>
  <c r="AC85"/>
  <c r="V85" s="1"/>
  <c r="Y85"/>
  <c r="K85" s="1"/>
  <c r="Y84"/>
  <c r="K84" s="1"/>
  <c r="AC83"/>
  <c r="V83" s="1"/>
  <c r="Y83"/>
  <c r="K83" s="1"/>
  <c r="Y82"/>
  <c r="K82" s="1"/>
  <c r="AC81"/>
  <c r="V81" s="1"/>
  <c r="Y81"/>
  <c r="K81" s="1"/>
  <c r="Y80"/>
  <c r="K80" s="1"/>
  <c r="AC79"/>
  <c r="V79" s="1"/>
  <c r="Y79"/>
  <c r="K79" s="1"/>
  <c r="Y78"/>
  <c r="K78" s="1"/>
  <c r="AC77"/>
  <c r="V77" s="1"/>
  <c r="K77"/>
  <c r="Y76"/>
  <c r="K76"/>
  <c r="AC74"/>
  <c r="V74"/>
  <c r="Y74"/>
  <c r="K74"/>
  <c r="Y73"/>
  <c r="K73"/>
  <c r="AC72"/>
  <c r="V72"/>
  <c r="Y72"/>
  <c r="K72"/>
  <c r="Y71"/>
  <c r="K71"/>
  <c r="AC69"/>
  <c r="V69"/>
  <c r="Y69"/>
  <c r="K69"/>
  <c r="Y68"/>
  <c r="K68"/>
  <c r="AC67"/>
  <c r="V67"/>
  <c r="Y67"/>
  <c r="K67"/>
  <c r="Y66"/>
  <c r="K66"/>
  <c r="AC64"/>
  <c r="V64"/>
  <c r="Z64"/>
  <c r="Y63"/>
  <c r="K63" s="1"/>
  <c r="AC62"/>
  <c r="V62" s="1"/>
  <c r="Y62"/>
  <c r="K62" s="1"/>
  <c r="Y61"/>
  <c r="K61" s="1"/>
  <c r="AC59"/>
  <c r="V59" s="1"/>
  <c r="Y59"/>
  <c r="K59" s="1"/>
  <c r="K58"/>
  <c r="AC57"/>
  <c r="V57"/>
  <c r="Y57"/>
  <c r="K57"/>
  <c r="Y56"/>
  <c r="K56"/>
  <c r="AC55"/>
  <c r="V55"/>
  <c r="Y55"/>
  <c r="K55"/>
  <c r="Y54"/>
  <c r="K54"/>
  <c r="AC53"/>
  <c r="V53"/>
  <c r="Y53"/>
  <c r="K53"/>
  <c r="Z52"/>
  <c r="AC51"/>
  <c r="V51" s="1"/>
  <c r="Y51"/>
  <c r="K51" s="1"/>
  <c r="Y50"/>
  <c r="K50" s="1"/>
  <c r="AC49"/>
  <c r="V49" s="1"/>
  <c r="Y49"/>
  <c r="K49" s="1"/>
  <c r="Y48"/>
  <c r="K48" s="1"/>
  <c r="AC47"/>
  <c r="V47" s="1"/>
  <c r="Y47"/>
  <c r="K47" s="1"/>
  <c r="Y45"/>
  <c r="K45" s="1"/>
  <c r="AC44"/>
  <c r="V44" s="1"/>
  <c r="Y44"/>
  <c r="K44" s="1"/>
  <c r="Y43"/>
  <c r="K43" s="1"/>
  <c r="AC42"/>
  <c r="V42" s="1"/>
  <c r="K42"/>
  <c r="Y41"/>
  <c r="K41"/>
  <c r="AC40"/>
  <c r="V40"/>
  <c r="Y40"/>
  <c r="K40"/>
  <c r="Y39"/>
  <c r="K39"/>
  <c r="AC38"/>
  <c r="V38"/>
  <c r="Y38"/>
  <c r="K38"/>
  <c r="Y37"/>
  <c r="K37"/>
  <c r="AC36"/>
  <c r="V36"/>
  <c r="Y36"/>
  <c r="K36"/>
  <c r="Y35"/>
  <c r="K35"/>
  <c r="AC34"/>
  <c r="V34"/>
  <c r="Y34"/>
  <c r="K34"/>
  <c r="Y33"/>
  <c r="K33"/>
  <c r="AC32"/>
  <c r="V32"/>
  <c r="Y32"/>
  <c r="K32"/>
  <c r="Y31"/>
  <c r="K31"/>
  <c r="AC30"/>
  <c r="V30"/>
  <c r="Y30"/>
  <c r="K30"/>
  <c r="Y29"/>
  <c r="K29"/>
  <c r="AC28"/>
  <c r="V28"/>
  <c r="Y28"/>
  <c r="K28"/>
  <c r="Y27"/>
  <c r="K27"/>
  <c r="AC26"/>
  <c r="V26"/>
  <c r="Y26"/>
  <c r="K26"/>
  <c r="Y25"/>
  <c r="K25"/>
  <c r="AC24"/>
  <c r="V24"/>
  <c r="Y24"/>
  <c r="K24"/>
  <c r="Y23"/>
  <c r="K23"/>
  <c r="AC22"/>
  <c r="V22"/>
  <c r="K22"/>
  <c r="Y21"/>
  <c r="K21" s="1"/>
  <c r="AC20"/>
  <c r="V20" s="1"/>
  <c r="Y20"/>
  <c r="K20" s="1"/>
  <c r="Y19"/>
  <c r="K19" s="1"/>
  <c r="AC18"/>
  <c r="V18" s="1"/>
  <c r="Y18"/>
  <c r="K18" s="1"/>
  <c r="Z17"/>
  <c r="AC16"/>
  <c r="V16"/>
  <c r="Y16"/>
  <c r="K16"/>
  <c r="Y15"/>
  <c r="K15"/>
  <c r="AC14"/>
  <c r="V14"/>
  <c r="K14"/>
  <c r="Y12"/>
  <c r="K12" s="1"/>
  <c r="AC11"/>
  <c r="V11" s="1"/>
  <c r="K11"/>
  <c r="Y10"/>
  <c r="K10"/>
  <c r="AC9"/>
  <c r="V9"/>
  <c r="Y9"/>
  <c r="K9"/>
  <c r="Y7"/>
  <c r="K7"/>
  <c r="AC101"/>
  <c r="V101"/>
  <c r="Y101"/>
  <c r="K101"/>
  <c r="Y5"/>
  <c r="K5"/>
  <c r="AC4"/>
  <c r="V4"/>
  <c r="Y4"/>
  <c r="K4"/>
  <c r="I65" i="20"/>
  <c r="F66"/>
  <c r="I33"/>
  <c r="J33"/>
  <c r="I34" s="1"/>
  <c r="M159"/>
  <c r="M160" s="1"/>
  <c r="M157"/>
  <c r="M158" s="1"/>
  <c r="M155"/>
  <c r="M156" s="1"/>
  <c r="M153"/>
  <c r="M154" s="1"/>
  <c r="M151"/>
  <c r="C160"/>
  <c r="C158"/>
  <c r="C156"/>
  <c r="C154"/>
  <c r="C152"/>
  <c r="C136"/>
  <c r="H153"/>
  <c r="H151"/>
  <c r="H155"/>
  <c r="H157"/>
  <c r="H159"/>
  <c r="G159"/>
  <c r="G160" s="1"/>
  <c r="G157"/>
  <c r="G158" s="1"/>
  <c r="G155"/>
  <c r="G156" s="1"/>
  <c r="G153"/>
  <c r="G154" s="1"/>
  <c r="G151"/>
  <c r="G152" s="1"/>
  <c r="G162" s="1"/>
  <c r="B49" i="21"/>
  <c r="G49" s="1"/>
  <c r="C142" i="20"/>
  <c r="C140"/>
  <c r="C138"/>
  <c r="C134"/>
  <c r="C132"/>
  <c r="C130"/>
  <c r="C128"/>
  <c r="C126"/>
  <c r="C124"/>
  <c r="C122"/>
  <c r="C120"/>
  <c r="C118"/>
  <c r="C116"/>
  <c r="C114"/>
  <c r="B116" s="1"/>
  <c r="C112"/>
  <c r="C110"/>
  <c r="C108"/>
  <c r="C106"/>
  <c r="C104"/>
  <c r="C102"/>
  <c r="C100"/>
  <c r="C98"/>
  <c r="C96"/>
  <c r="C94"/>
  <c r="C92"/>
  <c r="C90"/>
  <c r="C88"/>
  <c r="C86"/>
  <c r="C84"/>
  <c r="C82"/>
  <c r="C80"/>
  <c r="C78"/>
  <c r="C76"/>
  <c r="C74"/>
  <c r="C72"/>
  <c r="C70"/>
  <c r="C68"/>
  <c r="C66"/>
  <c r="M141"/>
  <c r="M142"/>
  <c r="M139"/>
  <c r="M140" s="1"/>
  <c r="M137"/>
  <c r="M138" s="1"/>
  <c r="M135"/>
  <c r="M136" s="1"/>
  <c r="M133"/>
  <c r="M134" s="1"/>
  <c r="M131"/>
  <c r="M132" s="1"/>
  <c r="M129"/>
  <c r="M130" s="1"/>
  <c r="M127"/>
  <c r="M128" s="1"/>
  <c r="M125"/>
  <c r="M126" s="1"/>
  <c r="M123"/>
  <c r="M124" s="1"/>
  <c r="M121"/>
  <c r="M122" s="1"/>
  <c r="M119"/>
  <c r="M120" s="1"/>
  <c r="M117"/>
  <c r="M118" s="1"/>
  <c r="M115"/>
  <c r="M116" s="1"/>
  <c r="M113"/>
  <c r="M114" s="1"/>
  <c r="M111"/>
  <c r="M112" s="1"/>
  <c r="M109"/>
  <c r="M110" s="1"/>
  <c r="M107"/>
  <c r="M108" s="1"/>
  <c r="M105"/>
  <c r="M106" s="1"/>
  <c r="M103"/>
  <c r="M104" s="1"/>
  <c r="M101"/>
  <c r="M102" s="1"/>
  <c r="M99"/>
  <c r="M100" s="1"/>
  <c r="M97"/>
  <c r="M98" s="1"/>
  <c r="M95"/>
  <c r="M96" s="1"/>
  <c r="M93"/>
  <c r="M94" s="1"/>
  <c r="M91"/>
  <c r="M92" s="1"/>
  <c r="M89"/>
  <c r="M90" s="1"/>
  <c r="M87"/>
  <c r="M88" s="1"/>
  <c r="M85"/>
  <c r="M86" s="1"/>
  <c r="M83"/>
  <c r="M84" s="1"/>
  <c r="M81"/>
  <c r="M82" s="1"/>
  <c r="M79"/>
  <c r="M80" s="1"/>
  <c r="M77"/>
  <c r="M78" s="1"/>
  <c r="M75"/>
  <c r="M76" s="1"/>
  <c r="M73"/>
  <c r="M74" s="1"/>
  <c r="M71"/>
  <c r="M72" s="1"/>
  <c r="M69"/>
  <c r="M67"/>
  <c r="M68" s="1"/>
  <c r="M65"/>
  <c r="M66"/>
  <c r="C64"/>
  <c r="M6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G141"/>
  <c r="G142" s="1"/>
  <c r="G139"/>
  <c r="G140" s="1"/>
  <c r="G137"/>
  <c r="G138" s="1"/>
  <c r="G135"/>
  <c r="G136" s="1"/>
  <c r="G133"/>
  <c r="G134" s="1"/>
  <c r="G131"/>
  <c r="G132" s="1"/>
  <c r="G129"/>
  <c r="G130" s="1"/>
  <c r="G127"/>
  <c r="G128" s="1"/>
  <c r="G125"/>
  <c r="G126" s="1"/>
  <c r="G123"/>
  <c r="G124" s="1"/>
  <c r="G121"/>
  <c r="G122" s="1"/>
  <c r="G119"/>
  <c r="G120" s="1"/>
  <c r="G117"/>
  <c r="G118" s="1"/>
  <c r="G115"/>
  <c r="G116" s="1"/>
  <c r="G113"/>
  <c r="G114" s="1"/>
  <c r="G111"/>
  <c r="G112" s="1"/>
  <c r="G109"/>
  <c r="G110" s="1"/>
  <c r="G107"/>
  <c r="G108" s="1"/>
  <c r="G105"/>
  <c r="G106" s="1"/>
  <c r="G103"/>
  <c r="G104" s="1"/>
  <c r="G101"/>
  <c r="G102" s="1"/>
  <c r="G99"/>
  <c r="G100" s="1"/>
  <c r="G97"/>
  <c r="G98" s="1"/>
  <c r="G95"/>
  <c r="G96" s="1"/>
  <c r="G93"/>
  <c r="G94" s="1"/>
  <c r="G91"/>
  <c r="G92" s="1"/>
  <c r="G89"/>
  <c r="G90" s="1"/>
  <c r="G87"/>
  <c r="G88" s="1"/>
  <c r="G85"/>
  <c r="G86" s="1"/>
  <c r="G83"/>
  <c r="G84" s="1"/>
  <c r="G81"/>
  <c r="G82" s="1"/>
  <c r="G79"/>
  <c r="G80" s="1"/>
  <c r="G77"/>
  <c r="G78" s="1"/>
  <c r="G75"/>
  <c r="G76" s="1"/>
  <c r="G73"/>
  <c r="G74" s="1"/>
  <c r="G71"/>
  <c r="G72" s="1"/>
  <c r="G69"/>
  <c r="G70" s="1"/>
  <c r="G67"/>
  <c r="G68" s="1"/>
  <c r="G65"/>
  <c r="G66" s="1"/>
  <c r="G63"/>
  <c r="G64" s="1"/>
  <c r="H53"/>
  <c r="H51"/>
  <c r="H49"/>
  <c r="H47"/>
  <c r="H45"/>
  <c r="H43"/>
  <c r="H41"/>
  <c r="H39"/>
  <c r="H37"/>
  <c r="H35"/>
  <c r="H33"/>
  <c r="H31"/>
  <c r="H29"/>
  <c r="H27"/>
  <c r="H25"/>
  <c r="H23"/>
  <c r="H21"/>
  <c r="H19"/>
  <c r="H17"/>
  <c r="G53"/>
  <c r="G54" s="1"/>
  <c r="G51"/>
  <c r="G52" s="1"/>
  <c r="G49"/>
  <c r="G50" s="1"/>
  <c r="G47"/>
  <c r="G48" s="1"/>
  <c r="G45"/>
  <c r="G46" s="1"/>
  <c r="G43"/>
  <c r="G44" s="1"/>
  <c r="G41"/>
  <c r="G42" s="1"/>
  <c r="G39"/>
  <c r="G40" s="1"/>
  <c r="G37"/>
  <c r="G38" s="1"/>
  <c r="G35"/>
  <c r="G36" s="1"/>
  <c r="G33"/>
  <c r="G34" s="1"/>
  <c r="G31"/>
  <c r="G32" s="1"/>
  <c r="G29"/>
  <c r="G30" s="1"/>
  <c r="G27"/>
  <c r="G28" s="1"/>
  <c r="G25"/>
  <c r="G26" s="1"/>
  <c r="G23"/>
  <c r="G24" s="1"/>
  <c r="G21"/>
  <c r="G19"/>
  <c r="G20" s="1"/>
  <c r="G17"/>
  <c r="G18" s="1"/>
  <c r="H15"/>
  <c r="G15"/>
  <c r="B84" i="21"/>
  <c r="G84" s="1"/>
  <c r="C84"/>
  <c r="D84" s="1"/>
  <c r="E84" s="1"/>
  <c r="F84" s="1"/>
  <c r="C83"/>
  <c r="D83"/>
  <c r="E83" s="1"/>
  <c r="F83" s="1"/>
  <c r="B83"/>
  <c r="G83" s="1"/>
  <c r="C82"/>
  <c r="B82"/>
  <c r="G82"/>
  <c r="C81"/>
  <c r="B81"/>
  <c r="G81" s="1"/>
  <c r="C80"/>
  <c r="B80"/>
  <c r="G80" s="1"/>
  <c r="I9" s="1"/>
  <c r="C76"/>
  <c r="D76" s="1"/>
  <c r="E76" s="1"/>
  <c r="F76" s="1"/>
  <c r="C75"/>
  <c r="D75" s="1"/>
  <c r="E75" s="1"/>
  <c r="F75" s="1"/>
  <c r="C74"/>
  <c r="D74"/>
  <c r="E74" s="1"/>
  <c r="F74" s="1"/>
  <c r="C73"/>
  <c r="D73" s="1"/>
  <c r="E73" s="1"/>
  <c r="F73" s="1"/>
  <c r="C72"/>
  <c r="D72" s="1"/>
  <c r="E72" s="1"/>
  <c r="F72" s="1"/>
  <c r="C71"/>
  <c r="D71" s="1"/>
  <c r="E71" s="1"/>
  <c r="F71" s="1"/>
  <c r="C70"/>
  <c r="D70"/>
  <c r="E70" s="1"/>
  <c r="F70" s="1"/>
  <c r="C69"/>
  <c r="D69" s="1"/>
  <c r="E69" s="1"/>
  <c r="F69" s="1"/>
  <c r="C68"/>
  <c r="D68" s="1"/>
  <c r="C67"/>
  <c r="D67" s="1"/>
  <c r="E67" s="1"/>
  <c r="F67" s="1"/>
  <c r="C66"/>
  <c r="C65"/>
  <c r="C64"/>
  <c r="C63"/>
  <c r="C62"/>
  <c r="C61"/>
  <c r="C60"/>
  <c r="C59"/>
  <c r="C58"/>
  <c r="C57"/>
  <c r="C56"/>
  <c r="C55"/>
  <c r="C54"/>
  <c r="C53"/>
  <c r="C52"/>
  <c r="C51"/>
  <c r="C50"/>
  <c r="C49"/>
  <c r="C48"/>
  <c r="C47"/>
  <c r="C46"/>
  <c r="C45"/>
  <c r="C44"/>
  <c r="C43"/>
  <c r="C42"/>
  <c r="C41"/>
  <c r="C40"/>
  <c r="C39"/>
  <c r="C38"/>
  <c r="B76"/>
  <c r="G76" s="1"/>
  <c r="B75"/>
  <c r="G75" s="1"/>
  <c r="B74"/>
  <c r="G74" s="1"/>
  <c r="B73"/>
  <c r="G73" s="1"/>
  <c r="B72"/>
  <c r="G72" s="1"/>
  <c r="B71"/>
  <c r="G71" s="1"/>
  <c r="B70"/>
  <c r="G70" s="1"/>
  <c r="B69"/>
  <c r="G69" s="1"/>
  <c r="B68"/>
  <c r="G68" s="1"/>
  <c r="B67"/>
  <c r="G67" s="1"/>
  <c r="B66"/>
  <c r="G66" s="1"/>
  <c r="B65"/>
  <c r="G65" s="1"/>
  <c r="B64"/>
  <c r="G64" s="1"/>
  <c r="B63"/>
  <c r="G63" s="1"/>
  <c r="B62"/>
  <c r="G62" s="1"/>
  <c r="B61"/>
  <c r="G61" s="1"/>
  <c r="B60"/>
  <c r="G60" s="1"/>
  <c r="B59"/>
  <c r="G59" s="1"/>
  <c r="B58"/>
  <c r="G58" s="1"/>
  <c r="B57"/>
  <c r="G57" s="1"/>
  <c r="B56"/>
  <c r="G56" s="1"/>
  <c r="B55"/>
  <c r="G55" s="1"/>
  <c r="B54"/>
  <c r="G54" s="1"/>
  <c r="B52"/>
  <c r="G52" s="1"/>
  <c r="B53"/>
  <c r="G53" s="1"/>
  <c r="B51"/>
  <c r="G51" s="1"/>
  <c r="B50"/>
  <c r="G50" s="1"/>
  <c r="B48"/>
  <c r="G48" s="1"/>
  <c r="B47"/>
  <c r="G47" s="1"/>
  <c r="B46"/>
  <c r="G46" s="1"/>
  <c r="B45"/>
  <c r="G45" s="1"/>
  <c r="B44"/>
  <c r="G44" s="1"/>
  <c r="B43"/>
  <c r="G43" s="1"/>
  <c r="B42"/>
  <c r="G42" s="1"/>
  <c r="B41"/>
  <c r="G41" s="1"/>
  <c r="B40"/>
  <c r="G40" s="1"/>
  <c r="B39"/>
  <c r="G39" s="1"/>
  <c r="B38"/>
  <c r="G38" s="1"/>
  <c r="C37"/>
  <c r="B37"/>
  <c r="G37"/>
  <c r="B33"/>
  <c r="G33"/>
  <c r="B32"/>
  <c r="G32"/>
  <c r="B31"/>
  <c r="G31"/>
  <c r="B30"/>
  <c r="G30"/>
  <c r="B29"/>
  <c r="G29"/>
  <c r="B28"/>
  <c r="G28" s="1"/>
  <c r="B27"/>
  <c r="G27" s="1"/>
  <c r="B26"/>
  <c r="G26" s="1"/>
  <c r="B25"/>
  <c r="G25" s="1"/>
  <c r="B24"/>
  <c r="G24" s="1"/>
  <c r="B23"/>
  <c r="G23" s="1"/>
  <c r="B22"/>
  <c r="G22" s="1"/>
  <c r="B21"/>
  <c r="G21" s="1"/>
  <c r="B20"/>
  <c r="G20" s="1"/>
  <c r="B19"/>
  <c r="G19" s="1"/>
  <c r="B16"/>
  <c r="G16" s="1"/>
  <c r="B15"/>
  <c r="G15" s="1"/>
  <c r="B17"/>
  <c r="G17" s="1"/>
  <c r="B18"/>
  <c r="G18" s="1"/>
  <c r="C33"/>
  <c r="C32"/>
  <c r="D32" s="1"/>
  <c r="E32" s="1"/>
  <c r="C31"/>
  <c r="C30"/>
  <c r="C29"/>
  <c r="C28"/>
  <c r="C27"/>
  <c r="C26"/>
  <c r="C25"/>
  <c r="C24"/>
  <c r="C23"/>
  <c r="C22"/>
  <c r="C21"/>
  <c r="C20"/>
  <c r="C19"/>
  <c r="C18"/>
  <c r="C17"/>
  <c r="C16"/>
  <c r="C15"/>
  <c r="C14"/>
  <c r="B14"/>
  <c r="G14" s="1"/>
  <c r="J159" i="20"/>
  <c r="I159"/>
  <c r="L159"/>
  <c r="F160"/>
  <c r="N98" i="36" s="1"/>
  <c r="J157" i="20"/>
  <c r="I157"/>
  <c r="L157"/>
  <c r="J155"/>
  <c r="I155"/>
  <c r="L155"/>
  <c r="F156"/>
  <c r="J141"/>
  <c r="I141"/>
  <c r="L141"/>
  <c r="J139"/>
  <c r="I139"/>
  <c r="L139"/>
  <c r="J137"/>
  <c r="I137"/>
  <c r="L137"/>
  <c r="J135"/>
  <c r="I135"/>
  <c r="L135"/>
  <c r="J133"/>
  <c r="I133"/>
  <c r="L133"/>
  <c r="J131"/>
  <c r="I131"/>
  <c r="L131"/>
  <c r="J129"/>
  <c r="I129"/>
  <c r="L129"/>
  <c r="J127"/>
  <c r="I127"/>
  <c r="L127"/>
  <c r="J125"/>
  <c r="I125"/>
  <c r="L125"/>
  <c r="J123"/>
  <c r="I123"/>
  <c r="L123"/>
  <c r="J121"/>
  <c r="I121"/>
  <c r="J119"/>
  <c r="I119"/>
  <c r="J117"/>
  <c r="I117"/>
  <c r="J115"/>
  <c r="I115"/>
  <c r="J113"/>
  <c r="I113"/>
  <c r="J111"/>
  <c r="I111"/>
  <c r="F112"/>
  <c r="L111"/>
  <c r="J109"/>
  <c r="I109"/>
  <c r="J107"/>
  <c r="I107"/>
  <c r="J105"/>
  <c r="I105"/>
  <c r="J103"/>
  <c r="I103"/>
  <c r="J101"/>
  <c r="I101"/>
  <c r="J99"/>
  <c r="I99"/>
  <c r="J97"/>
  <c r="I97"/>
  <c r="L97"/>
  <c r="J95"/>
  <c r="I95"/>
  <c r="L95"/>
  <c r="J93"/>
  <c r="I93"/>
  <c r="L93"/>
  <c r="J91"/>
  <c r="I91"/>
  <c r="J89"/>
  <c r="I89"/>
  <c r="L89"/>
  <c r="J87"/>
  <c r="I87"/>
  <c r="L87"/>
  <c r="J85"/>
  <c r="I85"/>
  <c r="L85"/>
  <c r="J83"/>
  <c r="I83"/>
  <c r="L83"/>
  <c r="J81"/>
  <c r="I81"/>
  <c r="J79"/>
  <c r="I79"/>
  <c r="L79"/>
  <c r="J77"/>
  <c r="I77"/>
  <c r="L77"/>
  <c r="J75"/>
  <c r="I75"/>
  <c r="L75"/>
  <c r="J73"/>
  <c r="I73"/>
  <c r="L73"/>
  <c r="J71"/>
  <c r="I71"/>
  <c r="J69"/>
  <c r="I69"/>
  <c r="L69"/>
  <c r="J67"/>
  <c r="I67"/>
  <c r="L67"/>
  <c r="J53"/>
  <c r="I54" s="1"/>
  <c r="I53"/>
  <c r="L53"/>
  <c r="J51"/>
  <c r="I52" s="1"/>
  <c r="I51"/>
  <c r="L51"/>
  <c r="J49"/>
  <c r="I50" s="1"/>
  <c r="I49"/>
  <c r="L49"/>
  <c r="J47"/>
  <c r="I48" s="1"/>
  <c r="I47"/>
  <c r="L47"/>
  <c r="J45"/>
  <c r="I46" s="1"/>
  <c r="I45"/>
  <c r="L45"/>
  <c r="J43"/>
  <c r="I44" s="1"/>
  <c r="I43"/>
  <c r="L43"/>
  <c r="J41"/>
  <c r="I42" s="1"/>
  <c r="I41"/>
  <c r="L41"/>
  <c r="J39"/>
  <c r="I40" s="1"/>
  <c r="I39"/>
  <c r="L39"/>
  <c r="J37"/>
  <c r="I38" s="1"/>
  <c r="I37"/>
  <c r="L37"/>
  <c r="J35"/>
  <c r="I36" s="1"/>
  <c r="I35"/>
  <c r="L35"/>
  <c r="J31"/>
  <c r="I32" s="1"/>
  <c r="I31"/>
  <c r="L31"/>
  <c r="J29"/>
  <c r="I30" s="1"/>
  <c r="I29"/>
  <c r="L29"/>
  <c r="J27"/>
  <c r="I28" s="1"/>
  <c r="I27"/>
  <c r="L27"/>
  <c r="J25"/>
  <c r="I26" s="1"/>
  <c r="I25"/>
  <c r="L25"/>
  <c r="J23"/>
  <c r="I24" s="1"/>
  <c r="I23"/>
  <c r="L23"/>
  <c r="J21"/>
  <c r="I22" s="1"/>
  <c r="I21"/>
  <c r="L21"/>
  <c r="J19"/>
  <c r="I20" s="1"/>
  <c r="I19"/>
  <c r="L19"/>
  <c r="J17"/>
  <c r="I18" s="1"/>
  <c r="I17"/>
  <c r="E18"/>
  <c r="J15"/>
  <c r="I16" s="1"/>
  <c r="C159"/>
  <c r="B160" s="1"/>
  <c r="C157"/>
  <c r="B158" s="1"/>
  <c r="C155"/>
  <c r="B156" s="1"/>
  <c r="C153"/>
  <c r="B154" s="1"/>
  <c r="C151"/>
  <c r="B152" s="1"/>
  <c r="C141"/>
  <c r="B142" s="1"/>
  <c r="C139"/>
  <c r="B140" s="1"/>
  <c r="C137"/>
  <c r="B138" s="1"/>
  <c r="C135"/>
  <c r="B136" s="1"/>
  <c r="C133"/>
  <c r="B134" s="1"/>
  <c r="C131"/>
  <c r="B132" s="1"/>
  <c r="C129"/>
  <c r="B130" s="1"/>
  <c r="C127"/>
  <c r="B128" s="1"/>
  <c r="C125"/>
  <c r="B126" s="1"/>
  <c r="C123"/>
  <c r="B124" s="1"/>
  <c r="C121"/>
  <c r="B122" s="1"/>
  <c r="C119"/>
  <c r="B120" s="1"/>
  <c r="C117"/>
  <c r="B118" s="1"/>
  <c r="C115"/>
  <c r="C113"/>
  <c r="B114" s="1"/>
  <c r="C111"/>
  <c r="B112" s="1"/>
  <c r="C109"/>
  <c r="B110"/>
  <c r="C107"/>
  <c r="B108" s="1"/>
  <c r="C105"/>
  <c r="B106"/>
  <c r="C103"/>
  <c r="B104" s="1"/>
  <c r="C101"/>
  <c r="B102"/>
  <c r="C99"/>
  <c r="B100" s="1"/>
  <c r="C97"/>
  <c r="B98"/>
  <c r="C95"/>
  <c r="B96" s="1"/>
  <c r="C93"/>
  <c r="B94"/>
  <c r="C91"/>
  <c r="B92" s="1"/>
  <c r="C89"/>
  <c r="B90"/>
  <c r="C87"/>
  <c r="B88" s="1"/>
  <c r="C85"/>
  <c r="B86"/>
  <c r="C83"/>
  <c r="B84" s="1"/>
  <c r="C81"/>
  <c r="B82"/>
  <c r="C79"/>
  <c r="B80" s="1"/>
  <c r="C77"/>
  <c r="B78"/>
  <c r="C75"/>
  <c r="B76" s="1"/>
  <c r="C73"/>
  <c r="B74"/>
  <c r="C71"/>
  <c r="B72" s="1"/>
  <c r="C69"/>
  <c r="C67"/>
  <c r="B68" s="1"/>
  <c r="C65"/>
  <c r="B66" s="1"/>
  <c r="J84" i="25"/>
  <c r="I84"/>
  <c r="H84"/>
  <c r="G84"/>
  <c r="F84"/>
  <c r="E84"/>
  <c r="D84"/>
  <c r="J356" i="24"/>
  <c r="I356"/>
  <c r="H356"/>
  <c r="G356"/>
  <c r="F356"/>
  <c r="C2" i="20"/>
  <c r="R142" i="10" s="1"/>
  <c r="C63" i="20"/>
  <c r="B64" s="1"/>
  <c r="C53"/>
  <c r="C51"/>
  <c r="C49"/>
  <c r="C47"/>
  <c r="C45"/>
  <c r="C43"/>
  <c r="C41"/>
  <c r="C39"/>
  <c r="C37"/>
  <c r="C35"/>
  <c r="C33"/>
  <c r="C31"/>
  <c r="C29"/>
  <c r="C27"/>
  <c r="C25"/>
  <c r="C23"/>
  <c r="C21"/>
  <c r="C19"/>
  <c r="C17"/>
  <c r="C15"/>
  <c r="F68"/>
  <c r="F70"/>
  <c r="F74"/>
  <c r="F76"/>
  <c r="F78"/>
  <c r="F80"/>
  <c r="F84"/>
  <c r="F86"/>
  <c r="F88"/>
  <c r="F90"/>
  <c r="F94"/>
  <c r="F96"/>
  <c r="F98"/>
  <c r="F18"/>
  <c r="F20"/>
  <c r="F22"/>
  <c r="F24"/>
  <c r="F26"/>
  <c r="F28"/>
  <c r="F30"/>
  <c r="D28" i="35" s="1"/>
  <c r="E28" s="1"/>
  <c r="F32" i="20"/>
  <c r="F34"/>
  <c r="F36"/>
  <c r="F38"/>
  <c r="D27" i="35" s="1"/>
  <c r="E27" s="1"/>
  <c r="F40" i="20"/>
  <c r="F42"/>
  <c r="F44"/>
  <c r="F46"/>
  <c r="F48"/>
  <c r="F50"/>
  <c r="F52"/>
  <c r="F54"/>
  <c r="F154"/>
  <c r="F158"/>
  <c r="F16"/>
  <c r="D34" i="36"/>
  <c r="L15" i="20"/>
  <c r="E122"/>
  <c r="E20"/>
  <c r="E22"/>
  <c r="E24"/>
  <c r="E26"/>
  <c r="E28"/>
  <c r="E30"/>
  <c r="E32"/>
  <c r="E34"/>
  <c r="E36"/>
  <c r="E38"/>
  <c r="E40"/>
  <c r="E42"/>
  <c r="D27" i="21" s="1"/>
  <c r="E27" s="1"/>
  <c r="F27" s="1"/>
  <c r="E44" i="20"/>
  <c r="E46"/>
  <c r="E48"/>
  <c r="E50"/>
  <c r="E52"/>
  <c r="E54"/>
  <c r="E70"/>
  <c r="E74"/>
  <c r="E78"/>
  <c r="E82"/>
  <c r="E86"/>
  <c r="E102"/>
  <c r="D56" i="21" s="1"/>
  <c r="E56" s="1"/>
  <c r="F56" s="1"/>
  <c r="E106" i="20"/>
  <c r="D58" i="21"/>
  <c r="E58" s="1"/>
  <c r="F58" s="1"/>
  <c r="E110" i="20"/>
  <c r="E114"/>
  <c r="D62" i="21"/>
  <c r="E62" s="1"/>
  <c r="F62" s="1"/>
  <c r="E118" i="20"/>
  <c r="E124"/>
  <c r="E126"/>
  <c r="E128"/>
  <c r="E130"/>
  <c r="E132"/>
  <c r="E134"/>
  <c r="E136"/>
  <c r="E138"/>
  <c r="E140"/>
  <c r="E142"/>
  <c r="E156"/>
  <c r="E158"/>
  <c r="E160"/>
  <c r="I151"/>
  <c r="L151"/>
  <c r="I63"/>
  <c r="L63"/>
  <c r="D93" i="21"/>
  <c r="D92"/>
  <c r="D95"/>
  <c r="D94"/>
  <c r="F6"/>
  <c r="L33" i="20"/>
  <c r="I153"/>
  <c r="E154"/>
  <c r="J153"/>
  <c r="E152"/>
  <c r="J151"/>
  <c r="L65"/>
  <c r="E120"/>
  <c r="D65" i="21" s="1"/>
  <c r="E65" s="1"/>
  <c r="F65" s="1"/>
  <c r="E116" i="20"/>
  <c r="D63" i="21"/>
  <c r="E63" s="1"/>
  <c r="F63" s="1"/>
  <c r="E112" i="20"/>
  <c r="D61" i="21"/>
  <c r="E61" s="1"/>
  <c r="F61" s="1"/>
  <c r="E108" i="20"/>
  <c r="E104"/>
  <c r="D57" i="21"/>
  <c r="E57" s="1"/>
  <c r="F57" s="1"/>
  <c r="E100" i="20"/>
  <c r="E96"/>
  <c r="D53" i="21"/>
  <c r="E53" s="1"/>
  <c r="F53" s="1"/>
  <c r="E92" i="20"/>
  <c r="D51" i="21" s="1"/>
  <c r="E51" s="1"/>
  <c r="F51" s="1"/>
  <c r="E88" i="20"/>
  <c r="D49" i="21"/>
  <c r="E49" s="1"/>
  <c r="F49" s="1"/>
  <c r="E84" i="20"/>
  <c r="D47" i="21"/>
  <c r="E47" s="1"/>
  <c r="F47" s="1"/>
  <c r="E80" i="20"/>
  <c r="E72"/>
  <c r="E68"/>
  <c r="D39" i="21" s="1"/>
  <c r="E39" s="1"/>
  <c r="F39" s="1"/>
  <c r="D52" i="20"/>
  <c r="K51" s="1"/>
  <c r="D160"/>
  <c r="K159" s="1"/>
  <c r="L153"/>
  <c r="L162" s="1"/>
  <c r="J65"/>
  <c r="J63"/>
  <c r="E66"/>
  <c r="D54"/>
  <c r="K53" s="1"/>
  <c r="D38" i="21"/>
  <c r="E38" s="1"/>
  <c r="F38" s="1"/>
  <c r="D30"/>
  <c r="E30"/>
  <c r="F30" s="1"/>
  <c r="D29"/>
  <c r="E29" s="1"/>
  <c r="F29" s="1"/>
  <c r="L113" i="20"/>
  <c r="F114"/>
  <c r="L115"/>
  <c r="F116"/>
  <c r="L117"/>
  <c r="F118"/>
  <c r="L119"/>
  <c r="F120"/>
  <c r="L121"/>
  <c r="F122"/>
  <c r="L71"/>
  <c r="F72"/>
  <c r="L81"/>
  <c r="F82"/>
  <c r="L91"/>
  <c r="F92"/>
  <c r="L99"/>
  <c r="F100"/>
  <c r="L101"/>
  <c r="F102"/>
  <c r="L103"/>
  <c r="F104"/>
  <c r="L105"/>
  <c r="F106"/>
  <c r="L107"/>
  <c r="F108"/>
  <c r="L109"/>
  <c r="F110"/>
  <c r="G16"/>
  <c r="D66" i="21"/>
  <c r="E66"/>
  <c r="F66" s="1"/>
  <c r="E98" i="20"/>
  <c r="D54" i="21"/>
  <c r="E54" s="1"/>
  <c r="F54" s="1"/>
  <c r="D64"/>
  <c r="E64" s="1"/>
  <c r="F64" s="1"/>
  <c r="E90" i="20"/>
  <c r="D50" i="21"/>
  <c r="E50" s="1"/>
  <c r="F50" s="1"/>
  <c r="D46"/>
  <c r="E46" s="1"/>
  <c r="F46" s="1"/>
  <c r="E76" i="20"/>
  <c r="D42" i="21"/>
  <c r="E42" s="1"/>
  <c r="F42" s="1"/>
  <c r="D10" i="34"/>
  <c r="E10" s="1"/>
  <c r="M64" i="20"/>
  <c r="M152"/>
  <c r="H28" i="36" s="1"/>
  <c r="B70" i="20"/>
  <c r="M70"/>
  <c r="D82" i="21"/>
  <c r="E82" s="1"/>
  <c r="F82" s="1"/>
  <c r="D81"/>
  <c r="E81" s="1"/>
  <c r="F81" s="1"/>
  <c r="G22" i="20"/>
  <c r="F152"/>
  <c r="C162" s="1"/>
  <c r="F64"/>
  <c r="D80" i="21"/>
  <c r="E80" s="1"/>
  <c r="T142" i="10"/>
  <c r="P142"/>
  <c r="L142"/>
  <c r="S142"/>
  <c r="O142"/>
  <c r="L356" i="24"/>
  <c r="E94" i="20"/>
  <c r="D52" i="21"/>
  <c r="E52" s="1"/>
  <c r="F52" s="1"/>
  <c r="D28"/>
  <c r="E28" s="1"/>
  <c r="F28" s="1"/>
  <c r="D26"/>
  <c r="E26" s="1"/>
  <c r="F26" s="1"/>
  <c r="D24"/>
  <c r="E24" s="1"/>
  <c r="F24" s="1"/>
  <c r="D22"/>
  <c r="E22" s="1"/>
  <c r="F22" s="1"/>
  <c r="D20"/>
  <c r="E20" s="1"/>
  <c r="F20" s="1"/>
  <c r="D18"/>
  <c r="E18" s="1"/>
  <c r="F18" s="1"/>
  <c r="D16"/>
  <c r="E16" s="1"/>
  <c r="F16" s="1"/>
  <c r="E64" i="20"/>
  <c r="D37" i="21" s="1"/>
  <c r="E37" s="1"/>
  <c r="F32"/>
  <c r="L17" i="20"/>
  <c r="D15" i="21"/>
  <c r="D33"/>
  <c r="E33" s="1"/>
  <c r="F33" s="1"/>
  <c r="D17"/>
  <c r="E17" s="1"/>
  <c r="F17" s="1"/>
  <c r="D19"/>
  <c r="E19" s="1"/>
  <c r="F19" s="1"/>
  <c r="D21"/>
  <c r="E21" s="1"/>
  <c r="F21" s="1"/>
  <c r="D23"/>
  <c r="E23" s="1"/>
  <c r="F23" s="1"/>
  <c r="D25"/>
  <c r="E25" s="1"/>
  <c r="F25" s="1"/>
  <c r="D31"/>
  <c r="E31" s="1"/>
  <c r="F31" s="1"/>
  <c r="D14"/>
  <c r="E14" s="1"/>
  <c r="F14" s="1"/>
  <c r="R356" i="24"/>
  <c r="U84" i="25"/>
  <c r="N356" i="24"/>
  <c r="R84" i="25"/>
  <c r="M356" i="24"/>
  <c r="Q84" i="25"/>
  <c r="P84"/>
  <c r="T84"/>
  <c r="S356" i="24"/>
  <c r="F57" i="20"/>
  <c r="I15" i="34" s="1"/>
  <c r="J15" s="1"/>
  <c r="E162" i="20"/>
  <c r="E57"/>
  <c r="H33" i="36"/>
  <c r="D50" i="20"/>
  <c r="K49" s="1"/>
  <c r="H36" i="36"/>
  <c r="D46" i="20"/>
  <c r="K45" s="1"/>
  <c r="D48"/>
  <c r="K47" s="1"/>
  <c r="E34" i="36"/>
  <c r="D142" i="20"/>
  <c r="K141" s="1"/>
  <c r="D138"/>
  <c r="K137" s="1"/>
  <c r="D140"/>
  <c r="K139" s="1"/>
  <c r="D134"/>
  <c r="K133" s="1"/>
  <c r="D136"/>
  <c r="K135" s="1"/>
  <c r="D130"/>
  <c r="K129" s="1"/>
  <c r="D132"/>
  <c r="K131" s="1"/>
  <c r="D126"/>
  <c r="K125" s="1"/>
  <c r="D128"/>
  <c r="K127" s="1"/>
  <c r="D122"/>
  <c r="K121" s="1"/>
  <c r="D124"/>
  <c r="K123" s="1"/>
  <c r="D156"/>
  <c r="K155" s="1"/>
  <c r="D158"/>
  <c r="K157" s="1"/>
  <c r="D154"/>
  <c r="D60" i="21" l="1"/>
  <c r="E60" s="1"/>
  <c r="F60" s="1"/>
  <c r="D59"/>
  <c r="E59" s="1"/>
  <c r="F59" s="1"/>
  <c r="D55"/>
  <c r="E55" s="1"/>
  <c r="F55" s="1"/>
  <c r="D48"/>
  <c r="E48" s="1"/>
  <c r="F48" s="1"/>
  <c r="D45"/>
  <c r="E45" s="1"/>
  <c r="F45" s="1"/>
  <c r="D44"/>
  <c r="E44" s="1"/>
  <c r="F44" s="1"/>
  <c r="F145" i="20"/>
  <c r="D24" i="35" s="1"/>
  <c r="E24" s="1"/>
  <c r="D43" i="21"/>
  <c r="E43" s="1"/>
  <c r="F43" s="1"/>
  <c r="L145" i="20"/>
  <c r="D41" i="21"/>
  <c r="E41" s="1"/>
  <c r="F41" s="1"/>
  <c r="D40"/>
  <c r="E40" s="1"/>
  <c r="F40" s="1"/>
  <c r="D7" i="34"/>
  <c r="E7" s="1"/>
  <c r="D34"/>
  <c r="E34" s="1"/>
  <c r="D35" i="36"/>
  <c r="E35" s="1"/>
  <c r="D35" i="34"/>
  <c r="E35" s="1"/>
  <c r="C57" i="20"/>
  <c r="D9" i="36" s="1"/>
  <c r="E9" s="1"/>
  <c r="I7" i="21"/>
  <c r="G57" i="20"/>
  <c r="E85" i="21"/>
  <c r="F80"/>
  <c r="F85" s="1"/>
  <c r="E68"/>
  <c r="F68" s="1"/>
  <c r="D88"/>
  <c r="H13" i="36"/>
  <c r="D6" i="35"/>
  <c r="E6" s="1"/>
  <c r="H14" i="36"/>
  <c r="D8"/>
  <c r="E8" s="1"/>
  <c r="D6"/>
  <c r="E6" s="1"/>
  <c r="H15"/>
  <c r="D12" i="34"/>
  <c r="E12" s="1"/>
  <c r="G165" i="20"/>
  <c r="D12" i="36" s="1"/>
  <c r="E12" s="1"/>
  <c r="D11" i="34"/>
  <c r="E11" s="1"/>
  <c r="D20" i="35"/>
  <c r="E20" s="1"/>
  <c r="D27" i="36"/>
  <c r="E27" s="1"/>
  <c r="D23"/>
  <c r="E23" s="1"/>
  <c r="H34"/>
  <c r="F162" i="20"/>
  <c r="E145"/>
  <c r="E165" s="1"/>
  <c r="H16" i="36"/>
  <c r="G145" i="20"/>
  <c r="K153"/>
  <c r="D31" i="34"/>
  <c r="E31" s="1"/>
  <c r="D16" i="35"/>
  <c r="E16" s="1"/>
  <c r="D23" i="34"/>
  <c r="E23" s="1"/>
  <c r="D18" i="36"/>
  <c r="E18" s="1"/>
  <c r="D12" i="35"/>
  <c r="E12" s="1"/>
  <c r="D19" i="34"/>
  <c r="E19" s="1"/>
  <c r="I12"/>
  <c r="J12" s="1"/>
  <c r="H35" i="36"/>
  <c r="H11"/>
  <c r="H32"/>
  <c r="H30"/>
  <c r="H29"/>
  <c r="H31"/>
  <c r="I8" i="21"/>
  <c r="F37"/>
  <c r="F77" s="1"/>
  <c r="E77"/>
  <c r="D26" i="34"/>
  <c r="E26" s="1"/>
  <c r="D22" i="36"/>
  <c r="E22" s="1"/>
  <c r="D30" i="34"/>
  <c r="E30" s="1"/>
  <c r="D15" i="35"/>
  <c r="E15" s="1"/>
  <c r="D30" i="36"/>
  <c r="E30" s="1"/>
  <c r="D22" i="34"/>
  <c r="E22" s="1"/>
  <c r="D23" i="35"/>
  <c r="E23" s="1"/>
  <c r="D17" i="36"/>
  <c r="E17" s="1"/>
  <c r="D18" i="34"/>
  <c r="E18" s="1"/>
  <c r="D26" i="36"/>
  <c r="E26" s="1"/>
  <c r="D19" i="35"/>
  <c r="E19" s="1"/>
  <c r="C19" i="36"/>
  <c r="C28" s="1"/>
  <c r="D11" i="35"/>
  <c r="E11" s="1"/>
  <c r="E15" i="21"/>
  <c r="F15" s="1"/>
  <c r="D34"/>
  <c r="L57" i="20"/>
  <c r="L165" s="1"/>
  <c r="D77" i="21"/>
  <c r="D85"/>
  <c r="D9" i="34"/>
  <c r="E9" s="1"/>
  <c r="C145" i="20"/>
  <c r="H165" s="1"/>
  <c r="H20" i="36"/>
  <c r="H19"/>
  <c r="H18"/>
  <c r="H17"/>
  <c r="O84" i="25"/>
  <c r="S84"/>
  <c r="N84"/>
  <c r="Q356" i="24"/>
  <c r="P356"/>
  <c r="O356"/>
  <c r="U356"/>
  <c r="T356"/>
  <c r="M84" i="25"/>
  <c r="L84"/>
  <c r="M142" i="10"/>
  <c r="Q142"/>
  <c r="U142"/>
  <c r="N142"/>
  <c r="D8" i="34"/>
  <c r="E8" s="1"/>
  <c r="H24" i="36"/>
  <c r="H22"/>
  <c r="H23"/>
  <c r="H21"/>
  <c r="H27"/>
  <c r="H26"/>
  <c r="H25"/>
  <c r="D27" i="34" l="1"/>
  <c r="E27" s="1"/>
  <c r="D31" i="36"/>
  <c r="E31" s="1"/>
  <c r="F88" i="21"/>
  <c r="I6" i="34"/>
  <c r="J6" s="1"/>
  <c r="I16"/>
  <c r="J16" s="1"/>
  <c r="F165" i="20"/>
  <c r="D120" s="1"/>
  <c r="K119" s="1"/>
  <c r="I165"/>
  <c r="D11" i="36" s="1"/>
  <c r="E11" s="1"/>
  <c r="D10"/>
  <c r="E10" s="1"/>
  <c r="E88" i="21"/>
  <c r="I37" i="36"/>
  <c r="J37" s="1"/>
  <c r="I7" i="34"/>
  <c r="J7" s="1"/>
  <c r="D6"/>
  <c r="E6" s="1"/>
  <c r="I8"/>
  <c r="J8" s="1"/>
  <c r="F34" i="21"/>
  <c r="E34"/>
  <c r="D116" i="20" l="1"/>
  <c r="K115" s="1"/>
  <c r="D118"/>
  <c r="K117" s="1"/>
  <c r="D112"/>
  <c r="K111" s="1"/>
  <c r="D114"/>
  <c r="K113" s="1"/>
  <c r="D152"/>
  <c r="D162" s="1"/>
  <c r="D110"/>
  <c r="K109" s="1"/>
  <c r="K151"/>
  <c r="D106"/>
  <c r="K105" s="1"/>
  <c r="D108"/>
  <c r="K107" s="1"/>
  <c r="D102"/>
  <c r="K101" s="1"/>
  <c r="D104"/>
  <c r="K103" s="1"/>
  <c r="D98"/>
  <c r="K97" s="1"/>
  <c r="D100"/>
  <c r="K99" s="1"/>
  <c r="D94"/>
  <c r="K93" s="1"/>
  <c r="D96"/>
  <c r="K95" s="1"/>
  <c r="D90"/>
  <c r="K89" s="1"/>
  <c r="D92"/>
  <c r="K91" s="1"/>
  <c r="D86"/>
  <c r="K85" s="1"/>
  <c r="D88"/>
  <c r="K87" s="1"/>
  <c r="D82"/>
  <c r="K81" s="1"/>
  <c r="D84"/>
  <c r="K83" s="1"/>
  <c r="D78"/>
  <c r="K77" s="1"/>
  <c r="D80"/>
  <c r="K79" s="1"/>
  <c r="D74"/>
  <c r="K73" s="1"/>
  <c r="D76"/>
  <c r="K75" s="1"/>
  <c r="D70"/>
  <c r="K69" s="1"/>
  <c r="D72"/>
  <c r="K71" s="1"/>
  <c r="D66"/>
  <c r="K65" s="1"/>
  <c r="D68"/>
  <c r="K67" s="1"/>
  <c r="D44"/>
  <c r="K43" s="1"/>
  <c r="D64"/>
  <c r="D40"/>
  <c r="K39" s="1"/>
  <c r="D42"/>
  <c r="K41" s="1"/>
  <c r="D36"/>
  <c r="K35" s="1"/>
  <c r="D38"/>
  <c r="K37" s="1"/>
  <c r="D32"/>
  <c r="K31" s="1"/>
  <c r="D34"/>
  <c r="K33" s="1"/>
  <c r="D28"/>
  <c r="K27" s="1"/>
  <c r="D30"/>
  <c r="K29" s="1"/>
  <c r="D24"/>
  <c r="K23" s="1"/>
  <c r="D26"/>
  <c r="K25" s="1"/>
  <c r="D20"/>
  <c r="K19" s="1"/>
  <c r="D22"/>
  <c r="K21" s="1"/>
  <c r="D16"/>
  <c r="K15" s="1"/>
  <c r="D18"/>
  <c r="K17" s="1"/>
  <c r="D24" i="34"/>
  <c r="E24" s="1"/>
  <c r="J30" i="36"/>
  <c r="J29"/>
  <c r="D19"/>
  <c r="E19" s="1"/>
  <c r="D13" i="35"/>
  <c r="E13" s="1"/>
  <c r="D25"/>
  <c r="E25" s="1"/>
  <c r="D32" i="34"/>
  <c r="E32" s="1"/>
  <c r="D17" i="35"/>
  <c r="E17" s="1"/>
  <c r="J33" i="36"/>
  <c r="J34"/>
  <c r="D28"/>
  <c r="E28" s="1"/>
  <c r="D21" i="35"/>
  <c r="E21" s="1"/>
  <c r="I17" i="34"/>
  <c r="J17" s="1"/>
  <c r="D24" i="36"/>
  <c r="E24" s="1"/>
  <c r="D32"/>
  <c r="E32" s="1"/>
  <c r="D20" i="34"/>
  <c r="E20" s="1"/>
  <c r="J28" i="36"/>
  <c r="J22"/>
  <c r="D7" i="35"/>
  <c r="E7" s="1"/>
  <c r="J17" i="36"/>
  <c r="I8"/>
  <c r="J8" s="1"/>
  <c r="D7"/>
  <c r="E7" s="1"/>
  <c r="J21"/>
  <c r="I7"/>
  <c r="J7" s="1"/>
  <c r="J24"/>
  <c r="J26"/>
  <c r="J16"/>
  <c r="J14"/>
  <c r="J31"/>
  <c r="J32"/>
  <c r="J25"/>
  <c r="J23"/>
  <c r="J20"/>
  <c r="J19"/>
  <c r="J18"/>
  <c r="I6"/>
  <c r="J6" s="1"/>
  <c r="D28" i="34"/>
  <c r="E28" s="1"/>
  <c r="J27" i="36"/>
  <c r="J15"/>
  <c r="J13"/>
  <c r="J35"/>
  <c r="J36"/>
  <c r="J11"/>
  <c r="D13" i="34"/>
  <c r="E13" s="1"/>
  <c r="K63" i="20" l="1"/>
  <c r="D145"/>
  <c r="D57"/>
  <c r="I9" i="36"/>
  <c r="J9" s="1"/>
  <c r="D165" i="20" l="1"/>
</calcChain>
</file>

<file path=xl/comments1.xml><?xml version="1.0" encoding="utf-8"?>
<comments xmlns="http://schemas.openxmlformats.org/spreadsheetml/2006/main">
  <authors>
    <author>jennifer.anderson</author>
    <author>barbara.stewart</author>
  </authors>
  <commentList>
    <comment ref="G13"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55" authorId="0">
      <text>
        <r>
          <rPr>
            <sz val="8"/>
            <color indexed="81"/>
            <rFont val="Tahoma"/>
            <family val="2"/>
          </rPr>
          <t xml:space="preserve">Species richness is simply the total number of species represented in the seed mix.  Increasing species richness increases diversity and reduces stand invasibility.
</t>
        </r>
      </text>
    </comment>
    <comment ref="G61"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143" authorId="0">
      <text>
        <r>
          <rPr>
            <sz val="8"/>
            <color indexed="81"/>
            <rFont val="Tahoma"/>
            <family val="2"/>
          </rPr>
          <t xml:space="preserve">Species richness is simply the total number of species represented in the seed mix.  Increasing species richness increases diversity and reduces stand invasibility.
</t>
        </r>
      </text>
    </comment>
    <comment ref="G149"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161" authorId="0">
      <text>
        <r>
          <rPr>
            <sz val="8"/>
            <color indexed="81"/>
            <rFont val="Tahoma"/>
            <family val="2"/>
          </rPr>
          <t xml:space="preserve">The total number of species in the woody plant and vine portion of the seed mix.  Increasing species richness increases diversity and reduces stand invasibility.
</t>
        </r>
      </text>
    </comment>
    <comment ref="G161" authorId="0">
      <text>
        <r>
          <rPr>
            <sz val="8"/>
            <color indexed="81"/>
            <rFont val="Tahoma"/>
            <family val="2"/>
          </rPr>
          <t>Adding the CC values for each species in the mix, then dividing by the species diversity gives you the average CC value of the mix. An average CC value of &gt; 5.0 ensures that the seed mix is well balanced.</t>
        </r>
      </text>
    </comment>
    <comment ref="G164" authorId="1">
      <text>
        <r>
          <rPr>
            <sz val="10"/>
            <color indexed="81"/>
            <rFont val="Tahoma"/>
            <family val="2"/>
          </rPr>
          <t>Adding the CC values for each species in the mix, then dividing by the species diversity gives you the average CC value of the mix. An average CC value of &gt; 5.0 ensures that the seed mix is well balanced.</t>
        </r>
      </text>
    </comment>
    <comment ref="H164" authorId="0">
      <text>
        <r>
          <rPr>
            <sz val="10"/>
            <color indexed="81"/>
            <rFont val="Tahoma"/>
            <family val="2"/>
          </rPr>
          <t>Species richness is simply the total number of species represented in the seed mix.  Increasing species richness increases diversity and reduces stand invasibility.</t>
        </r>
      </text>
    </comment>
    <comment ref="I164" authorId="0">
      <text>
        <r>
          <rPr>
            <sz val="10"/>
            <color indexed="81"/>
            <rFont val="Tahoma"/>
            <family val="2"/>
          </rPr>
          <t>FQI is a standardized index based upon species conservatism to site conditions (disturbed - pristine).  In this calculator, FQI is used to determine the quality of a seed mix in a repeatable and objective manner and allows for the comparison of multiple mixes.  FQI is calculated by multiplying the average CC value by the square root of the species richness.  An FQI score of 20 or above indicates that the mix has a diversity of plants of sufficient quality to result in a restoration with an acceptable degree of vegetative integrity.</t>
        </r>
      </text>
    </comment>
  </commentList>
</comments>
</file>

<file path=xl/sharedStrings.xml><?xml version="1.0" encoding="utf-8"?>
<sst xmlns="http://schemas.openxmlformats.org/spreadsheetml/2006/main" count="36610" uniqueCount="11340">
  <si>
    <t>WOODY &amp; VINE</t>
  </si>
  <si>
    <t>Virgin's Bower</t>
  </si>
  <si>
    <t>Virginia Waterleaf</t>
  </si>
  <si>
    <t>Jumpseed</t>
  </si>
  <si>
    <t>SUBTOTAL WOODY</t>
  </si>
  <si>
    <t>GRASSES</t>
  </si>
  <si>
    <t>FORBES/LEGUMES</t>
  </si>
  <si>
    <t>Average CC</t>
  </si>
  <si>
    <t>Coefficient of Conservatism</t>
  </si>
  <si>
    <t>Species Richness</t>
  </si>
  <si>
    <t>Floristic Quality Index</t>
  </si>
  <si>
    <t>Eragrostis trichodes</t>
  </si>
  <si>
    <t>Sand Lovegrass</t>
  </si>
  <si>
    <t>Carex lupulina</t>
  </si>
  <si>
    <t>Carex stricta</t>
  </si>
  <si>
    <t/>
  </si>
  <si>
    <t>General</t>
  </si>
  <si>
    <t>Soil Test</t>
  </si>
  <si>
    <t xml:space="preserve">Beckmannia syzigachne </t>
  </si>
  <si>
    <t>Bouteloua hirsuta</t>
  </si>
  <si>
    <t>Bromus ciliatus</t>
  </si>
  <si>
    <t>Bromus kalmii</t>
  </si>
  <si>
    <t>Bromus pubescens</t>
  </si>
  <si>
    <t>Calamagrostis canadensis</t>
  </si>
  <si>
    <t>Calamovilfa longifolia</t>
  </si>
  <si>
    <t>Carex annectens</t>
  </si>
  <si>
    <t>Carex atherodes</t>
  </si>
  <si>
    <t>Carex bebbii</t>
  </si>
  <si>
    <t>Carex bicknellii</t>
  </si>
  <si>
    <t>Carex brevior</t>
  </si>
  <si>
    <t xml:space="preserve">Carex cephaloidea </t>
  </si>
  <si>
    <t>Carex comosa</t>
  </si>
  <si>
    <t>Carex crinita</t>
  </si>
  <si>
    <t>Carex cristatella</t>
  </si>
  <si>
    <t>Carex crus-corvi</t>
  </si>
  <si>
    <t xml:space="preserve">Carex diandra </t>
  </si>
  <si>
    <t>Carex frankii</t>
  </si>
  <si>
    <t xml:space="preserve">Carex gracillima </t>
  </si>
  <si>
    <t xml:space="preserve">Carex granularis </t>
  </si>
  <si>
    <t xml:space="preserve">Carex gravida </t>
  </si>
  <si>
    <t>Carex grayi</t>
  </si>
  <si>
    <t>Carex grisea</t>
  </si>
  <si>
    <t>Carex hirsutella</t>
  </si>
  <si>
    <t>Carex hystericina</t>
  </si>
  <si>
    <t>Carex interior</t>
  </si>
  <si>
    <t>Carex lacustris</t>
  </si>
  <si>
    <t>Carex laeviconica</t>
  </si>
  <si>
    <t xml:space="preserve">Carex lasiocarpa </t>
  </si>
  <si>
    <t>Carex lurida</t>
  </si>
  <si>
    <t>Carex molesta</t>
  </si>
  <si>
    <t>Carex muehlenbergii</t>
  </si>
  <si>
    <t xml:space="preserve">Carex normalis </t>
  </si>
  <si>
    <t xml:space="preserve">Carex pellita </t>
  </si>
  <si>
    <t>Carex pensylvanica</t>
  </si>
  <si>
    <t>Carex prairea</t>
  </si>
  <si>
    <t xml:space="preserve">Carex retrorsa </t>
  </si>
  <si>
    <t>Carex rosea</t>
  </si>
  <si>
    <t>Carex scoparia</t>
  </si>
  <si>
    <t xml:space="preserve">Carex shortiana </t>
  </si>
  <si>
    <t xml:space="preserve">Carex sparganioides </t>
  </si>
  <si>
    <t>Carex sprengelii</t>
  </si>
  <si>
    <t>Carex squarrosa</t>
  </si>
  <si>
    <t>Carex sterilis</t>
  </si>
  <si>
    <t>Carex stipata</t>
  </si>
  <si>
    <t>Carex tenera</t>
  </si>
  <si>
    <t>Carex tribuloides</t>
  </si>
  <si>
    <t xml:space="preserve">Carex trichocarpa </t>
  </si>
  <si>
    <t xml:space="preserve">Carex tuckermanii </t>
  </si>
  <si>
    <t xml:space="preserve">Carex typhina </t>
  </si>
  <si>
    <t>Carex utriculata</t>
  </si>
  <si>
    <t>Carex vesicaria</t>
  </si>
  <si>
    <t>Chasmanthium latifolium</t>
  </si>
  <si>
    <t>Cyperus lupulinus</t>
  </si>
  <si>
    <t>Cyperus schweinitzii</t>
  </si>
  <si>
    <t>Danthonia spicata</t>
  </si>
  <si>
    <t xml:space="preserve">Diarrhena americana </t>
  </si>
  <si>
    <t>Diarrhena obovata</t>
  </si>
  <si>
    <t>Dichanthelium oligosanthes var. scribnerianum</t>
  </si>
  <si>
    <t xml:space="preserve">Dulichium arundinaceum </t>
  </si>
  <si>
    <t>Eleocharis acicularis</t>
  </si>
  <si>
    <t xml:space="preserve">Eleocharis obtusa </t>
  </si>
  <si>
    <t>Eleocharis palustris</t>
  </si>
  <si>
    <t>Elymus hystrix</t>
  </si>
  <si>
    <t>Elymus riparius</t>
  </si>
  <si>
    <t>Elymus trachycaulus</t>
  </si>
  <si>
    <t>Elymus villosus</t>
  </si>
  <si>
    <t>Eragrostis spectabilis</t>
  </si>
  <si>
    <t>Festuca subverticillata</t>
  </si>
  <si>
    <t>Glyceria grandis</t>
  </si>
  <si>
    <t>Glyceria striata</t>
  </si>
  <si>
    <t xml:space="preserve">Hesperostipa comata </t>
  </si>
  <si>
    <t>Hierochloe hirta</t>
  </si>
  <si>
    <t xml:space="preserve">Hierochloe odorata </t>
  </si>
  <si>
    <t>Hordeum jubatum</t>
  </si>
  <si>
    <t>Juncus arcticus ssp. littoralis</t>
  </si>
  <si>
    <t xml:space="preserve">Juncus canadensis </t>
  </si>
  <si>
    <t>Juncus dudleyi</t>
  </si>
  <si>
    <t>Juncus effusus</t>
  </si>
  <si>
    <t>Juncus interior</t>
  </si>
  <si>
    <t xml:space="preserve">Juncus nodosus </t>
  </si>
  <si>
    <t>Juncus tenuis</t>
  </si>
  <si>
    <t>Juncus torreyi</t>
  </si>
  <si>
    <t>Leersia oryzoides</t>
  </si>
  <si>
    <t>Muhlenbergia cuspidata</t>
  </si>
  <si>
    <t>Muhlenbergia glomerata</t>
  </si>
  <si>
    <t>Muhlenbergia mexicana</t>
  </si>
  <si>
    <t>Muhlenbergia racemosa</t>
  </si>
  <si>
    <t>Nassella viridula</t>
  </si>
  <si>
    <t>Pascopyrum smithii</t>
  </si>
  <si>
    <t>Paspalum setaceum</t>
  </si>
  <si>
    <t>Poa palustris</t>
  </si>
  <si>
    <t>Schoenoplectus acutus</t>
  </si>
  <si>
    <t>Schoenoplectus fluviatilis</t>
  </si>
  <si>
    <t>Schoenoplectus pungens</t>
  </si>
  <si>
    <t>Schoenoplectus tabernaemontani</t>
  </si>
  <si>
    <t>Scirpus cyperinus</t>
  </si>
  <si>
    <t xml:space="preserve">Scirpus microcarpus </t>
  </si>
  <si>
    <t>Sporobolus clandestinus</t>
  </si>
  <si>
    <t>Tridens flavus</t>
  </si>
  <si>
    <t>Big Bluestem</t>
  </si>
  <si>
    <t>American Sloughgrass</t>
  </si>
  <si>
    <t>Sideoats Grama</t>
  </si>
  <si>
    <t>Blue Grama</t>
  </si>
  <si>
    <t>Hairy Grama</t>
  </si>
  <si>
    <t>Fringed Brome</t>
  </si>
  <si>
    <t>Arctic Brome</t>
  </si>
  <si>
    <t>Hairy Woodland Brome</t>
  </si>
  <si>
    <t>Bluejoint</t>
  </si>
  <si>
    <t>Prairie Sandreed</t>
  </si>
  <si>
    <t>Yellowfruit Sedge</t>
  </si>
  <si>
    <t>Wheat Sedge</t>
  </si>
  <si>
    <t>Shortbeak Sedge</t>
  </si>
  <si>
    <t>Thinleaf Sedge</t>
  </si>
  <si>
    <t>Longhair Sedge</t>
  </si>
  <si>
    <t>Fringed Sedge</t>
  </si>
  <si>
    <t>Crested Sedge</t>
  </si>
  <si>
    <t>Ravenfoot Sedge</t>
  </si>
  <si>
    <t>Lesser Panicled Sedge</t>
  </si>
  <si>
    <t>Graceful Sedge</t>
  </si>
  <si>
    <t>Limestone Meadow Sedge</t>
  </si>
  <si>
    <t>Heavy Sedge</t>
  </si>
  <si>
    <t>Inflated Narrow-Leaf Sedge</t>
  </si>
  <si>
    <t>Fuzzy Wuzzy Sedge</t>
  </si>
  <si>
    <t>Bottlebrush Sedge</t>
  </si>
  <si>
    <t>Inland Sedge</t>
  </si>
  <si>
    <t>WC</t>
  </si>
  <si>
    <t>SC</t>
  </si>
  <si>
    <t>Hairy Sedge</t>
  </si>
  <si>
    <t>Smoothcone Sedge</t>
  </si>
  <si>
    <t>Woollyfruit Sedge</t>
  </si>
  <si>
    <t>Hop Sedge</t>
  </si>
  <si>
    <t>Shallow Sedge</t>
  </si>
  <si>
    <t>Troublesome Sedge</t>
  </si>
  <si>
    <t>Greater Straw Sedge</t>
  </si>
  <si>
    <t>Woolly Sedge</t>
  </si>
  <si>
    <t>Pennsylvania Sedge</t>
  </si>
  <si>
    <t>Prairie Sedge</t>
  </si>
  <si>
    <t>Knotsheath Sedge</t>
  </si>
  <si>
    <t>Rosy Sedge</t>
  </si>
  <si>
    <t>Broom Sedge</t>
  </si>
  <si>
    <t>Burr Reed Sedge</t>
  </si>
  <si>
    <t>Squarrose Sedge</t>
  </si>
  <si>
    <t>Dioecious Sedge</t>
  </si>
  <si>
    <t>Owlfruit Sedge</t>
  </si>
  <si>
    <t>Upright Sedge</t>
  </si>
  <si>
    <t>Quill Sedge</t>
  </si>
  <si>
    <t>Blunt Broom Sedge</t>
  </si>
  <si>
    <t>Hairyfruit Sedge</t>
  </si>
  <si>
    <t>Cattail Sedge</t>
  </si>
  <si>
    <t>Northwest Territory Sedge</t>
  </si>
  <si>
    <t>Blister Sedge</t>
  </si>
  <si>
    <t>Indian Woodoats</t>
  </si>
  <si>
    <t>Great Plains Flatsedge</t>
  </si>
  <si>
    <t>Poverty Oatgrass</t>
  </si>
  <si>
    <t>American Beakgrain</t>
  </si>
  <si>
    <t>Threeway Sedge</t>
  </si>
  <si>
    <t>Needle Spikerush</t>
  </si>
  <si>
    <t>Blunt Spikerush</t>
  </si>
  <si>
    <t>Common Spikerush</t>
  </si>
  <si>
    <t>Canada Wildrye</t>
  </si>
  <si>
    <t>Eastern Bottlebrush Grass</t>
  </si>
  <si>
    <t>Riverbank Wildrye</t>
  </si>
  <si>
    <t>Slender Wheatgrass</t>
  </si>
  <si>
    <t>Hairy Wildrye</t>
  </si>
  <si>
    <t>Virginia Wildrye</t>
  </si>
  <si>
    <t>Purple Lovegrass</t>
  </si>
  <si>
    <t>Nodding Fescue</t>
  </si>
  <si>
    <t>American Mannagrass</t>
  </si>
  <si>
    <t>Fowl Mannagrass</t>
  </si>
  <si>
    <t>Needle And Thread</t>
  </si>
  <si>
    <t>Porcupinegrass</t>
  </si>
  <si>
    <t>Sweetgrass</t>
  </si>
  <si>
    <t>Foxtail Barley</t>
  </si>
  <si>
    <t>Baltic Rush</t>
  </si>
  <si>
    <t>Canadian Rush</t>
  </si>
  <si>
    <t>Common Rush</t>
  </si>
  <si>
    <t>Inland Rush</t>
  </si>
  <si>
    <t>Knotted Rush</t>
  </si>
  <si>
    <t>Poverty Rush</t>
  </si>
  <si>
    <t>Prairie Junegrass</t>
  </si>
  <si>
    <t>Rice Cutgrass</t>
  </si>
  <si>
    <t>Plains Muhly</t>
  </si>
  <si>
    <t>Spiked Muhly</t>
  </si>
  <si>
    <t>Mexican Muhly</t>
  </si>
  <si>
    <t>Marsh Muhly</t>
  </si>
  <si>
    <t>Green Needlegrass</t>
  </si>
  <si>
    <t>Western Wheatgrass</t>
  </si>
  <si>
    <t>Thin Paspalum</t>
  </si>
  <si>
    <t>Fowl Bluegrass</t>
  </si>
  <si>
    <t>Little Bluestem</t>
  </si>
  <si>
    <t>Hardstem Bulrush</t>
  </si>
  <si>
    <t>River Bulrush</t>
  </si>
  <si>
    <t>Common Threesquare</t>
  </si>
  <si>
    <t>Softstem Bulrush</t>
  </si>
  <si>
    <t>Green Bulrush</t>
  </si>
  <si>
    <t>Woolgrass</t>
  </si>
  <si>
    <t>Panicled Bulrush</t>
  </si>
  <si>
    <t>Prairie Cordgrass</t>
  </si>
  <si>
    <t>Rough Dropseed</t>
  </si>
  <si>
    <t>Sand Dropseed</t>
  </si>
  <si>
    <t>Prairie Dropseed</t>
  </si>
  <si>
    <t>Purpletop Tridens</t>
  </si>
  <si>
    <t>Eastern Gamagrass</t>
  </si>
  <si>
    <t>Functional Group</t>
  </si>
  <si>
    <t xml:space="preserve">Monarda fistulosa </t>
  </si>
  <si>
    <t xml:space="preserve">Monarda punctata </t>
  </si>
  <si>
    <t xml:space="preserve">Oenothera biennis </t>
  </si>
  <si>
    <t xml:space="preserve">Oenothera pilosella </t>
  </si>
  <si>
    <t xml:space="preserve">Oenothera rhombipetala </t>
  </si>
  <si>
    <t xml:space="preserve">Onosmodium bejariense </t>
  </si>
  <si>
    <t xml:space="preserve">Penstemon cobaea </t>
  </si>
  <si>
    <t xml:space="preserve">Penstemon digitalis </t>
  </si>
  <si>
    <t xml:space="preserve">Penstemon grandiflorus </t>
  </si>
  <si>
    <t xml:space="preserve">Penstemon pallidus </t>
  </si>
  <si>
    <t xml:space="preserve">Penstemon tubiflorus </t>
  </si>
  <si>
    <t xml:space="preserve">Dalea candida </t>
  </si>
  <si>
    <t xml:space="preserve">Dalea purpurea </t>
  </si>
  <si>
    <t xml:space="preserve">Phlox divaricata </t>
  </si>
  <si>
    <t xml:space="preserve">Phlox maculata </t>
  </si>
  <si>
    <t xml:space="preserve">Phlox pilosa </t>
  </si>
  <si>
    <t xml:space="preserve">Podophyllum peltatum </t>
  </si>
  <si>
    <t xml:space="preserve">Polygonum virginianum </t>
  </si>
  <si>
    <t xml:space="preserve">Polygonum pensylvanicum </t>
  </si>
  <si>
    <t xml:space="preserve">Polygonum punctatum </t>
  </si>
  <si>
    <t xml:space="preserve">Pediomelum esculentum </t>
  </si>
  <si>
    <t xml:space="preserve">Orbexilum onobrychis </t>
  </si>
  <si>
    <t xml:space="preserve">Psoralidium tenuiflorum </t>
  </si>
  <si>
    <t xml:space="preserve">Ruellia strepens </t>
  </si>
  <si>
    <t xml:space="preserve">Silene nivea </t>
  </si>
  <si>
    <t xml:space="preserve">Silene stellata </t>
  </si>
  <si>
    <t xml:space="preserve">Silphium integrifolium </t>
  </si>
  <si>
    <t xml:space="preserve">Silphium laciniatum </t>
  </si>
  <si>
    <t xml:space="preserve">Silphium perfoliatum </t>
  </si>
  <si>
    <t xml:space="preserve">Silphium terebinthinaceum </t>
  </si>
  <si>
    <t xml:space="preserve">Oligoneuron riddellii </t>
  </si>
  <si>
    <t xml:space="preserve">Oligoneuron rigidum </t>
  </si>
  <si>
    <t xml:space="preserve">Solidago sciaphila </t>
  </si>
  <si>
    <t xml:space="preserve">Solidago speciosa </t>
  </si>
  <si>
    <t xml:space="preserve">Solidago ulmifolia </t>
  </si>
  <si>
    <t xml:space="preserve">Oligoneuron album </t>
  </si>
  <si>
    <t xml:space="preserve">Viola pubescens </t>
  </si>
  <si>
    <t xml:space="preserve">Opuntia humifusa </t>
  </si>
  <si>
    <t xml:space="preserve">Amelanchier stolonifera </t>
  </si>
  <si>
    <t xml:space="preserve">Rhus aromatica </t>
  </si>
  <si>
    <t xml:space="preserve">Smilax lasioneura </t>
  </si>
  <si>
    <t xml:space="preserve">Symphoricarpos orbiculatus </t>
  </si>
  <si>
    <t xml:space="preserve">Vitis riparia </t>
  </si>
  <si>
    <t>Ceanothus herbaceus</t>
  </si>
  <si>
    <t>Cornus amomum</t>
  </si>
  <si>
    <t>Cornus sericea</t>
  </si>
  <si>
    <t>Cowbane</t>
  </si>
  <si>
    <t>Lopseed</t>
  </si>
  <si>
    <t>Bloodroot</t>
  </si>
  <si>
    <t>Rosinweed</t>
  </si>
  <si>
    <t>Woundwort</t>
  </si>
  <si>
    <t>Wingstem</t>
  </si>
  <si>
    <t>Clematis virginiana</t>
  </si>
  <si>
    <t>Bebb's Sedge</t>
  </si>
  <si>
    <t>Bicknell's Sedge</t>
  </si>
  <si>
    <t>Dudley's Rush</t>
  </si>
  <si>
    <t>Frank's Sedge</t>
  </si>
  <si>
    <t>Gray's Sedge</t>
  </si>
  <si>
    <t>Muhlenberg's Sedge</t>
  </si>
  <si>
    <t>Schweinitz's Flatsedge</t>
  </si>
  <si>
    <t>Scribner's Rosette Grass</t>
  </si>
  <si>
    <t>Short's Sedge</t>
  </si>
  <si>
    <t>Sprengel's Sedge</t>
  </si>
  <si>
    <t>Torrey's Rush</t>
  </si>
  <si>
    <t>Tuckerman's Sedge</t>
  </si>
  <si>
    <t>Maryland Senna</t>
  </si>
  <si>
    <t>Spring</t>
  </si>
  <si>
    <t>Spring, Fall</t>
  </si>
  <si>
    <t>Spring, Summer</t>
  </si>
  <si>
    <t>Fall</t>
  </si>
  <si>
    <t>Summer, Fall</t>
  </si>
  <si>
    <t>American Germander</t>
  </si>
  <si>
    <t>Aromatic Aster</t>
  </si>
  <si>
    <t>Autumn Onion</t>
  </si>
  <si>
    <t>Bearded Beggarticks</t>
  </si>
  <si>
    <t>Blue Cohosh</t>
  </si>
  <si>
    <t>Blue Flag</t>
  </si>
  <si>
    <t>Blue Giant Hyssop</t>
  </si>
  <si>
    <t>Blue Vervain</t>
  </si>
  <si>
    <t>Blue Wild Indigo</t>
  </si>
  <si>
    <t>Bottle Gentian, Closed Gentian</t>
  </si>
  <si>
    <t>Bristly Crowfoot</t>
  </si>
  <si>
    <t>Bunch-Flower</t>
  </si>
  <si>
    <t>Butterfly Milkweed</t>
  </si>
  <si>
    <t>Canadian Anemone</t>
  </si>
  <si>
    <t>Canadian Milkvetch</t>
  </si>
  <si>
    <t>Canadian Wildginger</t>
  </si>
  <si>
    <t>Candle Anemone</t>
  </si>
  <si>
    <t>Cardinal Flower</t>
  </si>
  <si>
    <t>Clammy Weed</t>
  </si>
  <si>
    <t>Cliff Goldenrod</t>
  </si>
  <si>
    <t>Cobaea Beardtongue</t>
  </si>
  <si>
    <t>Common Arrowhead</t>
  </si>
  <si>
    <t>Common Blue Wood Aster</t>
  </si>
  <si>
    <t>Common Bur Reed</t>
  </si>
  <si>
    <t>Common Evening Primrose</t>
  </si>
  <si>
    <t>Common Mountain Mint</t>
  </si>
  <si>
    <t>Common Spiderwort</t>
  </si>
  <si>
    <t>Compass Plant</t>
  </si>
  <si>
    <t>Cow Parsnip</t>
  </si>
  <si>
    <t>Crookedstem Aster</t>
  </si>
  <si>
    <t>Cup Plant</t>
  </si>
  <si>
    <t>Ditch Stonecrop</t>
  </si>
  <si>
    <t>Dotted Blazing Star</t>
  </si>
  <si>
    <t>Downy Gentian</t>
  </si>
  <si>
    <t>Downy Painted Cup</t>
  </si>
  <si>
    <t>Downy Sunflower</t>
  </si>
  <si>
    <t>Downy Yellow Violet</t>
  </si>
  <si>
    <t>Early Buttercup</t>
  </si>
  <si>
    <t>Early Figwort</t>
  </si>
  <si>
    <t>Early Meadow-Rue</t>
  </si>
  <si>
    <t>Eastern Camass</t>
  </si>
  <si>
    <t>False Boneset</t>
  </si>
  <si>
    <t>False Dragonhead</t>
  </si>
  <si>
    <t>False Rue Anemone</t>
  </si>
  <si>
    <t>Feverfew, Wild Quinine</t>
  </si>
  <si>
    <t>Field Goldenrod</t>
  </si>
  <si>
    <t>Field Sagewort</t>
  </si>
  <si>
    <t>Flat-Topped Aster, White Aster</t>
  </si>
  <si>
    <t>Flowering Spurge</t>
  </si>
  <si>
    <t>Foxglove Penstemon</t>
  </si>
  <si>
    <t>Fragrant Coneflower</t>
  </si>
  <si>
    <t>Fringed Gentian</t>
  </si>
  <si>
    <t>Glade Mallow</t>
  </si>
  <si>
    <t>Golden Seal</t>
  </si>
  <si>
    <t>Grass Of Parnassus</t>
  </si>
  <si>
    <t>Great Lobelia</t>
  </si>
  <si>
    <t>Great Water Dock</t>
  </si>
  <si>
    <t>Green Comet Milkweed</t>
  </si>
  <si>
    <t>Green Milkweed</t>
  </si>
  <si>
    <t>Groovestem Indian Plaintain</t>
  </si>
  <si>
    <t>Groundplum Milkvetch</t>
  </si>
  <si>
    <t>Hairy False Goldenaster</t>
  </si>
  <si>
    <t>Hairy Mountain Mint</t>
  </si>
  <si>
    <t>Hairy Rockcress</t>
  </si>
  <si>
    <t>Hairy White Oldfield Aster</t>
  </si>
  <si>
    <t>Hoary Vervain</t>
  </si>
  <si>
    <t>Horseflyweed</t>
  </si>
  <si>
    <t>Indian Paintbrush</t>
  </si>
  <si>
    <t>Indian Tobacco</t>
  </si>
  <si>
    <t>Jack In The Pulpit</t>
  </si>
  <si>
    <t>Large Indian Breadroot</t>
  </si>
  <si>
    <t>Late Figwort</t>
  </si>
  <si>
    <t>Late Horse Gentian</t>
  </si>
  <si>
    <t>Limestone Wild Petunia</t>
  </si>
  <si>
    <t>Longbract Wild Indigo</t>
  </si>
  <si>
    <t>Marsh Cinquefoil</t>
  </si>
  <si>
    <t>Marsh Fleabane</t>
  </si>
  <si>
    <t>Marsh Marigold</t>
  </si>
  <si>
    <t>Mayapple</t>
  </si>
  <si>
    <t>Meadow Garlic</t>
  </si>
  <si>
    <t>Michigan Lily</t>
  </si>
  <si>
    <t>Missouri Ironweed</t>
  </si>
  <si>
    <t>Monkey Flower</t>
  </si>
  <si>
    <t>Narrowleaf Pinweed</t>
  </si>
  <si>
    <t>New England Aster</t>
  </si>
  <si>
    <t>Nodding Beggartick</t>
  </si>
  <si>
    <t>Northern Bedstraw</t>
  </si>
  <si>
    <t>Northern Willow Herb</t>
  </si>
  <si>
    <t>Obedient Plant</t>
  </si>
  <si>
    <t>Pale Beardtongue</t>
  </si>
  <si>
    <t>Pale Coneflower</t>
  </si>
  <si>
    <t>Pale Dock</t>
  </si>
  <si>
    <t>Pale Gentian, Yellow Gentian</t>
  </si>
  <si>
    <t>Pale Indian Plaintain</t>
  </si>
  <si>
    <t>Pale Touch-Me-Not, Jewel Weed</t>
  </si>
  <si>
    <t>Paleleaf Woodland Sunflower</t>
  </si>
  <si>
    <t>Partridge Pea</t>
  </si>
  <si>
    <t>Poke Milkweed</t>
  </si>
  <si>
    <t>Prairie Blazing Star</t>
  </si>
  <si>
    <t>Prairie Buttercup</t>
  </si>
  <si>
    <t>Prairie Cinquefoil</t>
  </si>
  <si>
    <t>Prairie Dodder</t>
  </si>
  <si>
    <t>Prairie Larkspur</t>
  </si>
  <si>
    <t>Prairie Milkweed</t>
  </si>
  <si>
    <t>Prairie Mimosa</t>
  </si>
  <si>
    <t>Prairie Parsley</t>
  </si>
  <si>
    <t>Prairie Phlox</t>
  </si>
  <si>
    <t>Prairie Ragwort</t>
  </si>
  <si>
    <t>Prairie Rosinweed</t>
  </si>
  <si>
    <t>Prairie Smoke, Purple Avens</t>
  </si>
  <si>
    <t>Prairie Sunflower</t>
  </si>
  <si>
    <t>Prairie Violet</t>
  </si>
  <si>
    <t>Purple Coneflower</t>
  </si>
  <si>
    <t>Purple Giant Hyssop</t>
  </si>
  <si>
    <t>Purple Milkweed</t>
  </si>
  <si>
    <t>Purple Poppymallow</t>
  </si>
  <si>
    <t>Purple Prairie Clover</t>
  </si>
  <si>
    <t>Purpleleaf Willowherb</t>
  </si>
  <si>
    <t>Purplestem Angelica</t>
  </si>
  <si>
    <t>Purplestem Beggarticks</t>
  </si>
  <si>
    <t>Rattle Box</t>
  </si>
  <si>
    <t>Rattlesnake Master</t>
  </si>
  <si>
    <t>Red Baneberry</t>
  </si>
  <si>
    <t>Red Columbine</t>
  </si>
  <si>
    <t>Rock Sandwort</t>
  </si>
  <si>
    <t>Rough White Lettuce</t>
  </si>
  <si>
    <t>Rue Anemone</t>
  </si>
  <si>
    <t>Sand Primrose</t>
  </si>
  <si>
    <t>Scarlet Gaura</t>
  </si>
  <si>
    <t>Scurfy Pea</t>
  </si>
  <si>
    <t>Sessileleaf Ticktrefoil</t>
  </si>
  <si>
    <t>Shooting Star</t>
  </si>
  <si>
    <t>Showy Goldenrod</t>
  </si>
  <si>
    <t>Skyblue Aster</t>
  </si>
  <si>
    <t>Slender Bush Clover</t>
  </si>
  <si>
    <t>Slender Mountain Mint</t>
  </si>
  <si>
    <t>Slenderleaf False Foxglove</t>
  </si>
  <si>
    <t>Smooth Blue Aster</t>
  </si>
  <si>
    <t>Smooth Goldenrod</t>
  </si>
  <si>
    <t>Smooth Violet Prairie Aster</t>
  </si>
  <si>
    <t>Snowy Campion</t>
  </si>
  <si>
    <t>Spiked Lobelia</t>
  </si>
  <si>
    <t>Spotted Horsemint</t>
  </si>
  <si>
    <t>Spotted Touch-Me-Not</t>
  </si>
  <si>
    <t>Starry Campion</t>
  </si>
  <si>
    <t>Stiff Aster</t>
  </si>
  <si>
    <t>Stiff Gentian</t>
  </si>
  <si>
    <t>Stiff Goldenrod</t>
  </si>
  <si>
    <t>Stinking Clover</t>
  </si>
  <si>
    <t>Swamp Aster</t>
  </si>
  <si>
    <t>Swamp Lousewort</t>
  </si>
  <si>
    <t>Swamp Milkweed</t>
  </si>
  <si>
    <t>Swamp Saxifrage</t>
  </si>
  <si>
    <t>Swamp Thistle</t>
  </si>
  <si>
    <t>Sweet Cicely</t>
  </si>
  <si>
    <t>Tall Bellflower</t>
  </si>
  <si>
    <t>Tall Coneflower</t>
  </si>
  <si>
    <t>Tall Goldenrod</t>
  </si>
  <si>
    <t>Tall Sunflower</t>
  </si>
  <si>
    <t>Tall Thimbleweed</t>
  </si>
  <si>
    <t>Tall Thoroughwort</t>
  </si>
  <si>
    <t>Tall Tickseed</t>
  </si>
  <si>
    <t>Tower Rockcress</t>
  </si>
  <si>
    <t>Tufted Loosestrife</t>
  </si>
  <si>
    <t>Twoflower Dwarfdandelion</t>
  </si>
  <si>
    <t>Violet Wood Sorrel</t>
  </si>
  <si>
    <t>Virginia Springbeauty</t>
  </si>
  <si>
    <t>Water Hemlock</t>
  </si>
  <si>
    <t>Water Horehound</t>
  </si>
  <si>
    <t>Water Plantain</t>
  </si>
  <si>
    <t>Water Smartweed</t>
  </si>
  <si>
    <t>Western Beardtongue</t>
  </si>
  <si>
    <t>Western Silver Aster</t>
  </si>
  <si>
    <t>Western Spiderwort</t>
  </si>
  <si>
    <t>Western Sunflower</t>
  </si>
  <si>
    <t>Western Yarrow</t>
  </si>
  <si>
    <t>White Arrowleaf Aster</t>
  </si>
  <si>
    <t>White Baneberry</t>
  </si>
  <si>
    <t>White Camass</t>
  </si>
  <si>
    <t>White Heath Aster</t>
  </si>
  <si>
    <t>White Prairie Clover</t>
  </si>
  <si>
    <t>White Sagebrush</t>
  </si>
  <si>
    <t>White Snakeroot</t>
  </si>
  <si>
    <t>White Turtlehead</t>
  </si>
  <si>
    <t>White Wild Indigo</t>
  </si>
  <si>
    <t>Whorled Milkweed</t>
  </si>
  <si>
    <t>Wild Blue Larkspur</t>
  </si>
  <si>
    <t>Wild Flax</t>
  </si>
  <si>
    <t>Wild Geranium</t>
  </si>
  <si>
    <t>Wild Leek</t>
  </si>
  <si>
    <t>Wild Licorice</t>
  </si>
  <si>
    <t>Wild Mint</t>
  </si>
  <si>
    <t>Wild Petunia</t>
  </si>
  <si>
    <t>Wild Stonecrop</t>
  </si>
  <si>
    <t>Wild Sweet William</t>
  </si>
  <si>
    <t>Willowleaf Aster</t>
  </si>
  <si>
    <t>Winged Loosestrife</t>
  </si>
  <si>
    <t>Wood Lily</t>
  </si>
  <si>
    <t>Woodland Sunflower</t>
  </si>
  <si>
    <t>Wooly Plantain</t>
  </si>
  <si>
    <t>Yellow Avens</t>
  </si>
  <si>
    <t>Yellow Giant Hyssop</t>
  </si>
  <si>
    <t>Yellow Pimpernel</t>
  </si>
  <si>
    <t>Bush's Poppymallow</t>
  </si>
  <si>
    <t>Culver's Root</t>
  </si>
  <si>
    <t>Devil's Beggartick</t>
  </si>
  <si>
    <t>Drummond's Aster</t>
  </si>
  <si>
    <t>False Solomon's Seal</t>
  </si>
  <si>
    <t>Jacob's Ladder</t>
  </si>
  <si>
    <t>Locoweed, Lambert's Crazy Weed</t>
  </si>
  <si>
    <t>Maximilian's Sunflower</t>
  </si>
  <si>
    <t>Pitcher's Sage</t>
  </si>
  <si>
    <t>Riddell's Goldenrod</t>
  </si>
  <si>
    <t>Robin's Plantain</t>
  </si>
  <si>
    <t>Short's Aster</t>
  </si>
  <si>
    <t>Solomon's Seal</t>
  </si>
  <si>
    <t>White Doll's Daisy</t>
  </si>
  <si>
    <t>Woman's Tobacco</t>
  </si>
  <si>
    <t xml:space="preserve">Caulophyllum thalictroides </t>
  </si>
  <si>
    <t xml:space="preserve">Callirhoe bushii </t>
  </si>
  <si>
    <t xml:space="preserve">Symphyotrichum cordifolium </t>
  </si>
  <si>
    <t xml:space="preserve">Lechea tenuifolia </t>
  </si>
  <si>
    <t xml:space="preserve">Helianthus strumosus </t>
  </si>
  <si>
    <t xml:space="preserve">Desmodium sessilifolium </t>
  </si>
  <si>
    <t xml:space="preserve">Symphyotrichum turbinellum </t>
  </si>
  <si>
    <t xml:space="preserve">Cirsium muticum </t>
  </si>
  <si>
    <t xml:space="preserve">Krigia biflora </t>
  </si>
  <si>
    <t xml:space="preserve">Claytonia virginica </t>
  </si>
  <si>
    <t xml:space="preserve">Helianthus divaricatus </t>
  </si>
  <si>
    <t>Doellingeria umbellata</t>
  </si>
  <si>
    <t xml:space="preserve">Spring, Summer </t>
  </si>
  <si>
    <t>Biennial Gaura</t>
  </si>
  <si>
    <t>Bishop's Cap, Miterwort</t>
  </si>
  <si>
    <t>Symphyotrichum drummondii</t>
  </si>
  <si>
    <t>Golden Alexander's</t>
  </si>
  <si>
    <t>summer, Fall</t>
  </si>
  <si>
    <t>Symphyotrichum novae-angliae</t>
  </si>
  <si>
    <t>Symphyotrichum lanceolatum</t>
  </si>
  <si>
    <t>Helianthus rigidum</t>
  </si>
  <si>
    <t>Symphyotrichum lateriflorum</t>
  </si>
  <si>
    <t>Symphyotrichum puniceum</t>
  </si>
  <si>
    <t>Lysimachia thyrsiflora</t>
  </si>
  <si>
    <t>Wild Four-O'clock</t>
  </si>
  <si>
    <t>Zigzag Goldenrod</t>
  </si>
  <si>
    <t>Perennial Warm Season Grass</t>
  </si>
  <si>
    <t>Perennial Cool Season Grass</t>
  </si>
  <si>
    <t>Perennial Cool Season Sedge</t>
  </si>
  <si>
    <t>Annual Warm Season Grass</t>
  </si>
  <si>
    <t>Annual Cool Season Grass</t>
  </si>
  <si>
    <t>Annual Cool Season Sedge</t>
  </si>
  <si>
    <t>Perennial Cool Season Rush</t>
  </si>
  <si>
    <t>Running Serviceberry</t>
  </si>
  <si>
    <t>Fragrant Sumac</t>
  </si>
  <si>
    <t>Blue Ridge Carrionflower</t>
  </si>
  <si>
    <t>Coralberry</t>
  </si>
  <si>
    <t>Riverbank Grape</t>
  </si>
  <si>
    <t>Pontederia cordata</t>
  </si>
  <si>
    <t xml:space="preserve">Redosier Dogwood  </t>
  </si>
  <si>
    <t xml:space="preserve">American Hazelnut  </t>
  </si>
  <si>
    <t xml:space="preserve">Wild Yam  </t>
  </si>
  <si>
    <t xml:space="preserve">Wild Cucumber  </t>
  </si>
  <si>
    <t xml:space="preserve">Common Witch Hazel  </t>
  </si>
  <si>
    <t xml:space="preserve">Lathyrus venosus  </t>
  </si>
  <si>
    <t xml:space="preserve">Physocarpus opulifolius  </t>
  </si>
  <si>
    <t xml:space="preserve">Ptelea trifoliata  </t>
  </si>
  <si>
    <t xml:space="preserve">Quercus bicolor  </t>
  </si>
  <si>
    <t xml:space="preserve">Quercus macrocarpa  </t>
  </si>
  <si>
    <t xml:space="preserve">Rosa arkansana  </t>
  </si>
  <si>
    <t xml:space="preserve">Rosa blanda  </t>
  </si>
  <si>
    <t xml:space="preserve">Rosa carolina  </t>
  </si>
  <si>
    <t xml:space="preserve">Rosa palustris  </t>
  </si>
  <si>
    <t xml:space="preserve">Rosa setigera  </t>
  </si>
  <si>
    <t xml:space="preserve">Sicyos angulatus  </t>
  </si>
  <si>
    <t xml:space="preserve">Staphylea trifolia  </t>
  </si>
  <si>
    <t xml:space="preserve">Viburnum dentatum  </t>
  </si>
  <si>
    <t xml:space="preserve">Veiny Pea  </t>
  </si>
  <si>
    <t xml:space="preserve">Prairie Ninebark  </t>
  </si>
  <si>
    <t xml:space="preserve">Common Hop Tree  </t>
  </si>
  <si>
    <t xml:space="preserve">Swamp White Oak  </t>
  </si>
  <si>
    <t xml:space="preserve">Bur Oak  </t>
  </si>
  <si>
    <t xml:space="preserve">Prairie Wild Rose  </t>
  </si>
  <si>
    <t xml:space="preserve">Early Wild Rose  </t>
  </si>
  <si>
    <t xml:space="preserve">Pasture Rose  </t>
  </si>
  <si>
    <t xml:space="preserve">Swamp Rose  </t>
  </si>
  <si>
    <t xml:space="preserve">Illinois Rose  </t>
  </si>
  <si>
    <t xml:space="preserve">Bur Cucumber  </t>
  </si>
  <si>
    <t xml:space="preserve">Bladdernut  </t>
  </si>
  <si>
    <t xml:space="preserve">Trailing Wild Bean  </t>
  </si>
  <si>
    <t xml:space="preserve">Arrowwood Viburnum  </t>
  </si>
  <si>
    <t xml:space="preserve">Nannyberry  </t>
  </si>
  <si>
    <t xml:space="preserve">American Cranberrybush  </t>
  </si>
  <si>
    <t xml:space="preserve">Soapweed  </t>
  </si>
  <si>
    <t xml:space="preserve">Viburnum lentago  </t>
  </si>
  <si>
    <t xml:space="preserve">Yucca glauca  </t>
  </si>
  <si>
    <t>Helianthus giganteus</t>
  </si>
  <si>
    <t>Aralia racemosa</t>
  </si>
  <si>
    <t>Spikenard</t>
  </si>
  <si>
    <t>Asclepias amplexicaulis</t>
  </si>
  <si>
    <t>Clasping Milkweed</t>
  </si>
  <si>
    <t>Asclepias viridiflora</t>
  </si>
  <si>
    <t xml:space="preserve">Arnoglossum reniforme </t>
  </si>
  <si>
    <t xml:space="preserve">Epilobium coloratum </t>
  </si>
  <si>
    <t xml:space="preserve">Heracleum maximum </t>
  </si>
  <si>
    <t xml:space="preserve">Hydrophyllum virginianum </t>
  </si>
  <si>
    <t>Symphyotrichum sericeum</t>
  </si>
  <si>
    <t>Symphyotrichum shortii</t>
  </si>
  <si>
    <t>Baptisia australis</t>
  </si>
  <si>
    <t>Baptisia alba</t>
  </si>
  <si>
    <t>Baptisia tinctoria</t>
  </si>
  <si>
    <t>Bidens aristosa</t>
  </si>
  <si>
    <t>Bidens cernua</t>
  </si>
  <si>
    <t>Bidens connata</t>
  </si>
  <si>
    <t>Bidens frondosa</t>
  </si>
  <si>
    <t>Blephilia hirsuta</t>
  </si>
  <si>
    <t>Boltonia asteroides</t>
  </si>
  <si>
    <t>Arnoglossum plantagineum</t>
  </si>
  <si>
    <t>Callirhoe involucrata</t>
  </si>
  <si>
    <t>Achillea millefolium</t>
  </si>
  <si>
    <t xml:space="preserve">Alisma subcordatum  </t>
  </si>
  <si>
    <t>Artemisia campestris</t>
  </si>
  <si>
    <t>**</t>
  </si>
  <si>
    <t>Brickellia eupatorioides</t>
  </si>
  <si>
    <t xml:space="preserve">Caltha palustris  </t>
  </si>
  <si>
    <t xml:space="preserve">Camassia scilloides  </t>
  </si>
  <si>
    <t xml:space="preserve">Campanula americana  </t>
  </si>
  <si>
    <t xml:space="preserve">Campanula rotundifolia  </t>
  </si>
  <si>
    <t>Senna marilandica</t>
  </si>
  <si>
    <t xml:space="preserve">Castilleja sessiliflora  </t>
  </si>
  <si>
    <t xml:space="preserve">Chelone glabra  </t>
  </si>
  <si>
    <t xml:space="preserve">Cicuta maculata  </t>
  </si>
  <si>
    <t xml:space="preserve">Cleome serrulata  </t>
  </si>
  <si>
    <t xml:space="preserve">Coreopsis palmata  </t>
  </si>
  <si>
    <t xml:space="preserve">Coreopsis tripteris  </t>
  </si>
  <si>
    <t xml:space="preserve">Crotalaria sagittalis  </t>
  </si>
  <si>
    <t xml:space="preserve">Cryptotaenia canadensis  </t>
  </si>
  <si>
    <t xml:space="preserve">Cuscuta pentagona  </t>
  </si>
  <si>
    <t xml:space="preserve">Delphinium carolinianum  </t>
  </si>
  <si>
    <t xml:space="preserve">Delphinium virescens  </t>
  </si>
  <si>
    <t xml:space="preserve">Desmanthus illinoensis  </t>
  </si>
  <si>
    <t xml:space="preserve">Desmodium canadense  </t>
  </si>
  <si>
    <t xml:space="preserve">Desmodium glutinosum  </t>
  </si>
  <si>
    <t xml:space="preserve">Desmodium illinoense  </t>
  </si>
  <si>
    <t xml:space="preserve">Desmodium paniculatum  </t>
  </si>
  <si>
    <t xml:space="preserve">Dodecatheon meadia  </t>
  </si>
  <si>
    <t xml:space="preserve">Echinacea angustifolia  </t>
  </si>
  <si>
    <t xml:space="preserve">Echinacea pallida  </t>
  </si>
  <si>
    <t xml:space="preserve">Echinacea purpurea  </t>
  </si>
  <si>
    <t xml:space="preserve">Epilobium angustifolium  </t>
  </si>
  <si>
    <t>Epilobium ciliatum</t>
  </si>
  <si>
    <t xml:space="preserve">Erigeron pulchellus  </t>
  </si>
  <si>
    <t xml:space="preserve">Eryngium yuccifolium  </t>
  </si>
  <si>
    <t xml:space="preserve">Eupatorium altissimum  </t>
  </si>
  <si>
    <t xml:space="preserve">Eupatorium perfoliatum  </t>
  </si>
  <si>
    <t xml:space="preserve">Eupatorium purpureum  </t>
  </si>
  <si>
    <t xml:space="preserve">Euphorbia corollata  </t>
  </si>
  <si>
    <t xml:space="preserve">Froelichia floridana  </t>
  </si>
  <si>
    <t xml:space="preserve">Galium boreale  </t>
  </si>
  <si>
    <t xml:space="preserve">Gaura biennis  </t>
  </si>
  <si>
    <t xml:space="preserve">Gaura coccinea  </t>
  </si>
  <si>
    <t xml:space="preserve">Gentiana andrewsii  </t>
  </si>
  <si>
    <t xml:space="preserve">Gentiana puberulenta  </t>
  </si>
  <si>
    <t xml:space="preserve">Gentianella quinquefolia  </t>
  </si>
  <si>
    <t xml:space="preserve">Geranium maculatum  </t>
  </si>
  <si>
    <t>Geum aleppicum</t>
  </si>
  <si>
    <t xml:space="preserve">Geum triflorum  </t>
  </si>
  <si>
    <t xml:space="preserve">Glycyrrhiza lepidota  </t>
  </si>
  <si>
    <t xml:space="preserve">Gnaphalium obtusifolium  </t>
  </si>
  <si>
    <t xml:space="preserve">Helenium autumnale  </t>
  </si>
  <si>
    <t xml:space="preserve">Helianthus grosseserratus  </t>
  </si>
  <si>
    <t>Helianthus maximiliani</t>
  </si>
  <si>
    <t xml:space="preserve">Helianthus mollis  </t>
  </si>
  <si>
    <t xml:space="preserve">Helianthus occidentalis  </t>
  </si>
  <si>
    <t xml:space="preserve">Heliopsis helianthoides  </t>
  </si>
  <si>
    <t xml:space="preserve">Heuchera richardsonii  </t>
  </si>
  <si>
    <t>Hibiscus laevis</t>
  </si>
  <si>
    <t xml:space="preserve">Hieracium canadense  </t>
  </si>
  <si>
    <t xml:space="preserve">Hydrastis canadensis  </t>
  </si>
  <si>
    <t xml:space="preserve">Hypericum punctatum  </t>
  </si>
  <si>
    <t xml:space="preserve">Hypoxis hirsuta  </t>
  </si>
  <si>
    <t xml:space="preserve">Impatiens capensis  </t>
  </si>
  <si>
    <t xml:space="preserve">Impatiens pallida  </t>
  </si>
  <si>
    <t>Iris shrevei</t>
  </si>
  <si>
    <t xml:space="preserve">Isopyrum biternatum  </t>
  </si>
  <si>
    <t xml:space="preserve">Lespedeza capitata  </t>
  </si>
  <si>
    <t xml:space="preserve">Lespedeza virginica  </t>
  </si>
  <si>
    <t xml:space="preserve">Liatris aspera  </t>
  </si>
  <si>
    <t xml:space="preserve">Liatris cylindracea  </t>
  </si>
  <si>
    <t xml:space="preserve">Liatris ligulistylis  </t>
  </si>
  <si>
    <t xml:space="preserve">Liatris punctata  </t>
  </si>
  <si>
    <t xml:space="preserve">Liatris pycnostachya  </t>
  </si>
  <si>
    <t xml:space="preserve">Liatris squarrosa  </t>
  </si>
  <si>
    <t>Lilium michiganense</t>
  </si>
  <si>
    <t xml:space="preserve">Lilium philadelphicum  </t>
  </si>
  <si>
    <t xml:space="preserve">Linum sulcatum  </t>
  </si>
  <si>
    <t xml:space="preserve">Lobelia cardinalis  </t>
  </si>
  <si>
    <t xml:space="preserve">Lobelia inflata  </t>
  </si>
  <si>
    <t xml:space="preserve">Lobelia siphilitica  </t>
  </si>
  <si>
    <t xml:space="preserve">Lycopus americanus  </t>
  </si>
  <si>
    <t xml:space="preserve">Lysimachia ciliata  </t>
  </si>
  <si>
    <t xml:space="preserve">Lysimachia quadriflora  </t>
  </si>
  <si>
    <t xml:space="preserve">Lysimachia terrestris  </t>
  </si>
  <si>
    <t xml:space="preserve">Lythrum alatum  </t>
  </si>
  <si>
    <t xml:space="preserve">Mentha arvensis  </t>
  </si>
  <si>
    <t xml:space="preserve">Mertensia virginica  </t>
  </si>
  <si>
    <t xml:space="preserve">Mimulus ringens  </t>
  </si>
  <si>
    <t>Minuartia michauxii</t>
  </si>
  <si>
    <t xml:space="preserve">Mirabilis nyctaginea  </t>
  </si>
  <si>
    <t xml:space="preserve">Mitella diphylla  </t>
  </si>
  <si>
    <t xml:space="preserve">Napaea dioica  </t>
  </si>
  <si>
    <t xml:space="preserve">Osmorhiza claytonii  </t>
  </si>
  <si>
    <t xml:space="preserve">Oxalis violacea  </t>
  </si>
  <si>
    <t xml:space="preserve">Oxypolis rigidior  </t>
  </si>
  <si>
    <t xml:space="preserve">Oxytropis lambertii  </t>
  </si>
  <si>
    <t xml:space="preserve">Parnassia glauca  </t>
  </si>
  <si>
    <t xml:space="preserve">Parthenium integrifolium  </t>
  </si>
  <si>
    <t xml:space="preserve">Pedicularis canadensis  </t>
  </si>
  <si>
    <t xml:space="preserve">Pedicularis lanceolata  </t>
  </si>
  <si>
    <t xml:space="preserve">Penthorum sedoides  </t>
  </si>
  <si>
    <t xml:space="preserve">Phryma leptostachya  </t>
  </si>
  <si>
    <t xml:space="preserve">Physostegia parviflora  </t>
  </si>
  <si>
    <t xml:space="preserve">Physostegia virginiana  </t>
  </si>
  <si>
    <t>Plantago patagonica</t>
  </si>
  <si>
    <t xml:space="preserve">Polanisia dodecandra  </t>
  </si>
  <si>
    <t xml:space="preserve">Polemonium reptans  </t>
  </si>
  <si>
    <t xml:space="preserve">Polygonatum biflorum  </t>
  </si>
  <si>
    <t xml:space="preserve">Polytaenia nuttallii  </t>
  </si>
  <si>
    <t xml:space="preserve">Potentilla arguta  </t>
  </si>
  <si>
    <t xml:space="preserve">Potentilla palustris  </t>
  </si>
  <si>
    <t xml:space="preserve">Prenanthes alba  </t>
  </si>
  <si>
    <t xml:space="preserve">Prenanthes aspera  </t>
  </si>
  <si>
    <t xml:space="preserve">Prenanthes racemosa  </t>
  </si>
  <si>
    <t xml:space="preserve">Pycnanthemum pilosum  </t>
  </si>
  <si>
    <t xml:space="preserve">Pycnanthemum tenuifolium  </t>
  </si>
  <si>
    <t xml:space="preserve">Ranunculus fascicularis  </t>
  </si>
  <si>
    <t>Ranunculus septentrionalis</t>
  </si>
  <si>
    <t xml:space="preserve">Ranunculus pensylvanicus  </t>
  </si>
  <si>
    <t xml:space="preserve">Ranunculus rhomboideus  </t>
  </si>
  <si>
    <t xml:space="preserve">Ratibida columnifera  </t>
  </si>
  <si>
    <t xml:space="preserve">Ratibida pinnata  </t>
  </si>
  <si>
    <t xml:space="preserve">Rudbeckia hirta  </t>
  </si>
  <si>
    <t xml:space="preserve">Rudbeckia laciniata  </t>
  </si>
  <si>
    <t xml:space="preserve">Rudbeckia subtomentosa  </t>
  </si>
  <si>
    <t xml:space="preserve">Rudbeckia triloba  </t>
  </si>
  <si>
    <t xml:space="preserve">Ruellia humilis  </t>
  </si>
  <si>
    <t xml:space="preserve">Rumex altissimus  </t>
  </si>
  <si>
    <t xml:space="preserve">Rumex orbiculatus  </t>
  </si>
  <si>
    <t xml:space="preserve">Sagittaria latifolia  </t>
  </si>
  <si>
    <t xml:space="preserve">Salvia azurea  </t>
  </si>
  <si>
    <t xml:space="preserve">Sanguinaria canadensis  </t>
  </si>
  <si>
    <t xml:space="preserve">Saxifraga pensylvanica  </t>
  </si>
  <si>
    <t xml:space="preserve">Scrophularia lanceolata  </t>
  </si>
  <si>
    <t xml:space="preserve">Scrophularia marilandica  </t>
  </si>
  <si>
    <t xml:space="preserve">Scutellaria lateriflora  </t>
  </si>
  <si>
    <t xml:space="preserve">Scutellaria ovata   </t>
  </si>
  <si>
    <t xml:space="preserve">Sedum ternatum  </t>
  </si>
  <si>
    <t xml:space="preserve">Senecio congestus  </t>
  </si>
  <si>
    <t xml:space="preserve">Senecio plattensis  </t>
  </si>
  <si>
    <t xml:space="preserve">Sisyrinchium angustifolium  </t>
  </si>
  <si>
    <t>Maianthemum racemosum</t>
  </si>
  <si>
    <t xml:space="preserve">Solidago flexicaulis  </t>
  </si>
  <si>
    <t xml:space="preserve">Solidago gigantea  </t>
  </si>
  <si>
    <t>Euthamia graminifolia</t>
  </si>
  <si>
    <t xml:space="preserve">Solidago nemoralis  </t>
  </si>
  <si>
    <t xml:space="preserve">Sparganium eurycarpum  </t>
  </si>
  <si>
    <t xml:space="preserve">Stachys palustris   </t>
  </si>
  <si>
    <t xml:space="preserve">Taenidia integerrima  </t>
  </si>
  <si>
    <t xml:space="preserve">Tephrosia virginiana  </t>
  </si>
  <si>
    <t xml:space="preserve">Teucrium canadense  </t>
  </si>
  <si>
    <t xml:space="preserve">Thalictrum dasycarpum  </t>
  </si>
  <si>
    <t xml:space="preserve">Thalictrum dioicum  </t>
  </si>
  <si>
    <t>Thalictrum thalictroides</t>
  </si>
  <si>
    <t xml:space="preserve">Tradescantia bracteata  </t>
  </si>
  <si>
    <t xml:space="preserve">Tradescantia occidentalis  </t>
  </si>
  <si>
    <t xml:space="preserve">Tradescantia ohiensis  </t>
  </si>
  <si>
    <t>Triadenum fraseri</t>
  </si>
  <si>
    <t xml:space="preserve">Triodanis perfoliata  </t>
  </si>
  <si>
    <t xml:space="preserve">Triosteum perfoliatum  </t>
  </si>
  <si>
    <t xml:space="preserve">Verbena hastata  </t>
  </si>
  <si>
    <t xml:space="preserve">Verbena stricta  </t>
  </si>
  <si>
    <t>Verbesina alternifolia</t>
  </si>
  <si>
    <t xml:space="preserve">Vernonia fasciculata  </t>
  </si>
  <si>
    <t xml:space="preserve">Vernonia missurica  </t>
  </si>
  <si>
    <t xml:space="preserve">Veronicastrum virginicum  </t>
  </si>
  <si>
    <t xml:space="preserve">Viola pedatifida  </t>
  </si>
  <si>
    <t xml:space="preserve">Zigadenus elegans  </t>
  </si>
  <si>
    <t xml:space="preserve">Zizia aptera  </t>
  </si>
  <si>
    <t xml:space="preserve">Zizia aurea  </t>
  </si>
  <si>
    <t>Sweetflag</t>
  </si>
  <si>
    <t>Acorus calamus</t>
  </si>
  <si>
    <t>Actaea pachypoda</t>
  </si>
  <si>
    <t>Agalinis tenuifolia</t>
  </si>
  <si>
    <t>Agastache foeniculum</t>
  </si>
  <si>
    <t>Agastache nepetoides</t>
  </si>
  <si>
    <t>Agastache scrophulariifolia</t>
  </si>
  <si>
    <t>Ageratina altissima</t>
  </si>
  <si>
    <t>Allium canadense</t>
  </si>
  <si>
    <t>Allium stellatum</t>
  </si>
  <si>
    <t>Allium tricoccum</t>
  </si>
  <si>
    <t>Anemone virginiana</t>
  </si>
  <si>
    <t>Angelica atropurpurea</t>
  </si>
  <si>
    <t>Antennaria plantaginifolia</t>
  </si>
  <si>
    <t>Aquilegia canadensis</t>
  </si>
  <si>
    <t>Arabis glabra</t>
  </si>
  <si>
    <t>Arabis hirsuta</t>
  </si>
  <si>
    <t>Arisaema triphyllum</t>
  </si>
  <si>
    <t>Arnoglossum atriplicifolium</t>
  </si>
  <si>
    <t>Asarum canadense</t>
  </si>
  <si>
    <t>Asclepias exaltata</t>
  </si>
  <si>
    <t>Asclepias hirtella</t>
  </si>
  <si>
    <t>Asclepias purpurascens</t>
  </si>
  <si>
    <t>Asclepias sullivantii</t>
  </si>
  <si>
    <t>Asclepias syriaca</t>
  </si>
  <si>
    <t>Symphyotrichum oolentangiense</t>
  </si>
  <si>
    <t>Symphyotrichum ericoides</t>
  </si>
  <si>
    <t>Symphyotrichum laeve</t>
  </si>
  <si>
    <t>Symphyotrichum oblongifolium</t>
  </si>
  <si>
    <t>Symphyotrichum pilosum</t>
  </si>
  <si>
    <t>Symphyotrichum praealtum</t>
  </si>
  <si>
    <t>Symphyotrichum prenanthoides</t>
  </si>
  <si>
    <t>Symphyotrichum urophyllum</t>
  </si>
  <si>
    <t>Harebell</t>
  </si>
  <si>
    <t>Honewort</t>
  </si>
  <si>
    <t>Fireweed</t>
  </si>
  <si>
    <t>Cottonweed</t>
  </si>
  <si>
    <t>Everlasting</t>
  </si>
  <si>
    <t>PLUGS ONLY</t>
  </si>
  <si>
    <t>Hawkweed</t>
  </si>
  <si>
    <t>Bluebell</t>
  </si>
  <si>
    <t>Actaea rubra</t>
  </si>
  <si>
    <t>Sisyrinchium campestre alba</t>
  </si>
  <si>
    <t xml:space="preserve">Pycnanthemum virginianum </t>
  </si>
  <si>
    <t xml:space="preserve">Hydrophyllum appendiculatum </t>
  </si>
  <si>
    <t xml:space="preserve">Acer saccharum  </t>
  </si>
  <si>
    <t xml:space="preserve">Amelanchier arborea  </t>
  </si>
  <si>
    <t xml:space="preserve">Amorpha canescens  </t>
  </si>
  <si>
    <t xml:space="preserve">Amorpha fruticosa  </t>
  </si>
  <si>
    <t xml:space="preserve">Ceanothus americanus  </t>
  </si>
  <si>
    <t xml:space="preserve">Cephalanthus occidentalis  </t>
  </si>
  <si>
    <t xml:space="preserve">Cornus alternifolia  </t>
  </si>
  <si>
    <t xml:space="preserve">Corylus americana  </t>
  </si>
  <si>
    <t xml:space="preserve">Dioscorea villosa  </t>
  </si>
  <si>
    <t xml:space="preserve">Echinocystis lobata  </t>
  </si>
  <si>
    <t xml:space="preserve">Hamamelis virginiana  </t>
  </si>
  <si>
    <t xml:space="preserve">Hypericum prolificum  </t>
  </si>
  <si>
    <t xml:space="preserve">Sugar Maple  </t>
  </si>
  <si>
    <t xml:space="preserve">Downy Serviceberry  </t>
  </si>
  <si>
    <t xml:space="preserve">Lead Plant  </t>
  </si>
  <si>
    <t xml:space="preserve">False Indigo  </t>
  </si>
  <si>
    <t xml:space="preserve">New Jersey Tea  </t>
  </si>
  <si>
    <t xml:space="preserve">Red Root  </t>
  </si>
  <si>
    <t xml:space="preserve">Buttonbush  </t>
  </si>
  <si>
    <t xml:space="preserve">Pagoda Dogwood  </t>
  </si>
  <si>
    <t xml:space="preserve">Silky Dogwood  </t>
  </si>
  <si>
    <t>Celastrus scandens</t>
  </si>
  <si>
    <t>Bittersweet</t>
  </si>
  <si>
    <t>Seeds/oz</t>
  </si>
  <si>
    <t>Seeds/sq ft @ 1oz/ac</t>
  </si>
  <si>
    <t>Plant Type</t>
  </si>
  <si>
    <t>Forb</t>
  </si>
  <si>
    <t>Grass</t>
  </si>
  <si>
    <t>Moisture Regime</t>
  </si>
  <si>
    <t>Seeds/sq foot</t>
  </si>
  <si>
    <t>Common Name</t>
  </si>
  <si>
    <t>Elymus virginicus</t>
  </si>
  <si>
    <t>Seeds/sq ft @ 16oz/ac</t>
  </si>
  <si>
    <t>Seeding Rate Oz/ac PLS</t>
  </si>
  <si>
    <t>Estimated Cost/oz</t>
  </si>
  <si>
    <t>Estimated Cost/lb</t>
  </si>
  <si>
    <t>Summer</t>
  </si>
  <si>
    <t>Bouteloua gracilis</t>
  </si>
  <si>
    <t>Elymus canadensis</t>
  </si>
  <si>
    <t>Tripsacum dactyloides</t>
  </si>
  <si>
    <t>Sorghastrum nutans</t>
  </si>
  <si>
    <t>Indiangrass</t>
  </si>
  <si>
    <t>Sporobolus heterolepis</t>
  </si>
  <si>
    <t>Sporobolus cryptandrus</t>
  </si>
  <si>
    <t>Bouteloua curtipendula</t>
  </si>
  <si>
    <t>Panicum virgatum</t>
  </si>
  <si>
    <t>Switchgrass</t>
  </si>
  <si>
    <t>Spartina pectinata</t>
  </si>
  <si>
    <t>Asclepias tuberosa</t>
  </si>
  <si>
    <t>Solidago canadensis</t>
  </si>
  <si>
    <t>Baptisia bracteata</t>
  </si>
  <si>
    <t>Ironweed</t>
  </si>
  <si>
    <t>Astragalus canadensis</t>
  </si>
  <si>
    <t>Asclepias incarnata</t>
  </si>
  <si>
    <t>Anemone cylindrica</t>
  </si>
  <si>
    <t>Chamaecrista fasciculata</t>
  </si>
  <si>
    <t xml:space="preserve"> </t>
  </si>
  <si>
    <t>CHOOSE YOUR GRASSES</t>
  </si>
  <si>
    <t>Scientific Name</t>
  </si>
  <si>
    <t>% of mix</t>
  </si>
  <si>
    <t>Cost ($/ac)</t>
  </si>
  <si>
    <r>
      <t># Seeds / ft</t>
    </r>
    <r>
      <rPr>
        <vertAlign val="superscript"/>
        <sz val="10"/>
        <rFont val="Arial"/>
        <family val="2"/>
      </rPr>
      <t>2</t>
    </r>
  </si>
  <si>
    <t>lbs / acre PLS</t>
  </si>
  <si>
    <t>Leave this row blank</t>
  </si>
  <si>
    <t>CHOOSE YOUR FORBS/LEGUMES</t>
  </si>
  <si>
    <t>% of Mixture</t>
  </si>
  <si>
    <t>Pure Stand Seeding Rate PLS lbs/acre</t>
  </si>
  <si>
    <t>Cost ($/lb)</t>
  </si>
  <si>
    <t>@ 1 oz. / ac</t>
  </si>
  <si>
    <t>@ 1 lb. / ac</t>
  </si>
  <si>
    <t>Grasses</t>
  </si>
  <si>
    <t>Forbs/Legumes</t>
  </si>
  <si>
    <t>Seeding Mix Summary</t>
  </si>
  <si>
    <t>GRAND TOTAL</t>
  </si>
  <si>
    <t>GRAND TOTAL COST ($/AC)</t>
  </si>
  <si>
    <t>1</t>
  </si>
  <si>
    <t>SUBTOTAL GRASSES</t>
  </si>
  <si>
    <t>SUBTOTAL FORBS</t>
  </si>
  <si>
    <t>seeds / ft2 PLS</t>
  </si>
  <si>
    <t>IA - CPA - 4 REV.</t>
  </si>
  <si>
    <t>(File Code 180-12-12)</t>
  </si>
  <si>
    <t>Seeding Plan</t>
  </si>
  <si>
    <r>
      <t>Name</t>
    </r>
    <r>
      <rPr>
        <sz val="8"/>
        <rFont val="Arial"/>
        <family val="2"/>
      </rPr>
      <t xml:space="preserve"> </t>
    </r>
  </si>
  <si>
    <t xml:space="preserve">Date </t>
  </si>
  <si>
    <t>Type of Seeding:</t>
  </si>
  <si>
    <t>Prepared by</t>
  </si>
  <si>
    <t>CRP</t>
  </si>
  <si>
    <t>Pasture</t>
  </si>
  <si>
    <t>WRP</t>
  </si>
  <si>
    <t>Structure</t>
  </si>
  <si>
    <t>WHIP</t>
  </si>
  <si>
    <t>Total Needed</t>
  </si>
  <si>
    <t xml:space="preserve">Fertilizer &amp; Lime </t>
  </si>
  <si>
    <t>Nitrogen</t>
  </si>
  <si>
    <t xml:space="preserve">Phosphate (P205)  </t>
  </si>
  <si>
    <t xml:space="preserve">Potash (K20) </t>
  </si>
  <si>
    <t>(Date)</t>
  </si>
  <si>
    <t>(Producer's Signature)</t>
  </si>
  <si>
    <t>Field Office</t>
  </si>
  <si>
    <t>Certified by</t>
  </si>
  <si>
    <t>(NRCS Representative)</t>
  </si>
  <si>
    <t>lbs</t>
  </si>
  <si>
    <t>Seeding was completed by</t>
  </si>
  <si>
    <t>according to the above requirements.</t>
  </si>
  <si>
    <t>When seeding is completed, return seeding plan to the Natural Resources Conservation Services.</t>
  </si>
  <si>
    <t xml:space="preserve">For Federal cost-share, return receipts to Farm Service Agency.  </t>
  </si>
  <si>
    <t>For state cost-share projects, attach receipts for seed, fertilizer, lime and mulch.</t>
  </si>
  <si>
    <t xml:space="preserve">         (Date)</t>
  </si>
  <si>
    <t>Lime (ECCE)  (Actual Lime)</t>
  </si>
  <si>
    <t>Other:</t>
  </si>
  <si>
    <t>Additional Seeding Criteria:</t>
  </si>
  <si>
    <t>FORBS/LEGUMES TOTAL</t>
  </si>
  <si>
    <t>Mesic (medium)</t>
  </si>
  <si>
    <t>Field Area (acres):</t>
  </si>
  <si>
    <t>Cost</t>
  </si>
  <si>
    <t>Tract No.</t>
  </si>
  <si>
    <t>Field No.</t>
  </si>
  <si>
    <t>Contract No.</t>
  </si>
  <si>
    <t xml:space="preserve">Dry cold storage, Light required for germination or cold moist stratification </t>
  </si>
  <si>
    <t>Cold moist stratification</t>
  </si>
  <si>
    <t xml:space="preserve">Cold moist stratification(30),Requires scarification  </t>
  </si>
  <si>
    <t xml:space="preserve">Plant fresh seed or Warm moist =&gt; cool moist sequence  </t>
  </si>
  <si>
    <t>Dry cold storage</t>
  </si>
  <si>
    <t>Cold moist stratification, Light required for germination</t>
  </si>
  <si>
    <t xml:space="preserve">Cold moist stratification Fall plant, Light required for germination </t>
  </si>
  <si>
    <t>Cold moist stratification or Dry cold storage</t>
  </si>
  <si>
    <r>
      <t>Plant fresh seed</t>
    </r>
    <r>
      <rPr>
        <sz val="10"/>
        <color indexed="8"/>
        <rFont val="Arial"/>
        <family val="2"/>
      </rPr>
      <t xml:space="preserve">, Cold moist =&gt; warm moist =&gt; cold moist sequence </t>
    </r>
    <r>
      <rPr>
        <sz val="10"/>
        <rFont val="Arial"/>
        <family val="2"/>
      </rPr>
      <t xml:space="preserve"> </t>
    </r>
  </si>
  <si>
    <t>Fall Plant</t>
  </si>
  <si>
    <t xml:space="preserve">Cold moist stratification or Dry cold storage, Light required for germination  </t>
  </si>
  <si>
    <r>
      <t>Cold moist stratification</t>
    </r>
    <r>
      <rPr>
        <sz val="10"/>
        <color indexed="8"/>
        <rFont val="Arial"/>
        <family val="2"/>
      </rPr>
      <t xml:space="preserve">(30),Light required for germination </t>
    </r>
    <r>
      <rPr>
        <sz val="10"/>
        <rFont val="Arial"/>
        <family val="2"/>
      </rPr>
      <t xml:space="preserve"> </t>
    </r>
  </si>
  <si>
    <t xml:space="preserve">Cold moist stratification(10),Requires scarification, Legume-requires inoculation  </t>
  </si>
  <si>
    <t xml:space="preserve"> Cold moist stratification, Light required for germination  </t>
  </si>
  <si>
    <t>Cold moist stratification, Requires light for germination</t>
  </si>
  <si>
    <r>
      <t>Cold moist stratification</t>
    </r>
    <r>
      <rPr>
        <sz val="10"/>
        <color indexed="8"/>
        <rFont val="Arial"/>
        <family val="2"/>
      </rPr>
      <t xml:space="preserve"> or Dry cold storage </t>
    </r>
    <r>
      <rPr>
        <sz val="10"/>
        <rFont val="Arial"/>
        <family val="2"/>
      </rPr>
      <t xml:space="preserve"> </t>
    </r>
  </si>
  <si>
    <t>Cold moist =&gt; warm moist =&gt; cold moist sequence</t>
  </si>
  <si>
    <t>Plant fresh seed</t>
  </si>
  <si>
    <t>COLD MOIST STRATIFICATION</t>
  </si>
  <si>
    <r>
      <t>Dry cold storage</t>
    </r>
    <r>
      <rPr>
        <sz val="10"/>
        <color indexed="8"/>
        <rFont val="Arial"/>
        <family val="2"/>
      </rPr>
      <t xml:space="preserve">, Prefers cool soil, Light required for germination </t>
    </r>
    <r>
      <rPr>
        <sz val="10"/>
        <rFont val="Arial"/>
        <family val="2"/>
      </rPr>
      <t xml:space="preserve"> </t>
    </r>
  </si>
  <si>
    <t xml:space="preserve"> Dry cold storage, Light required for germination  </t>
  </si>
  <si>
    <r>
      <t>Fall plant</t>
    </r>
    <r>
      <rPr>
        <sz val="10"/>
        <color indexed="8"/>
        <rFont val="Arial"/>
        <family val="2"/>
      </rPr>
      <t xml:space="preserve">/Cold moist stratification(120),Prefers cool soil </t>
    </r>
  </si>
  <si>
    <r>
      <t>Fall plant</t>
    </r>
    <r>
      <rPr>
        <sz val="10"/>
        <color indexed="8"/>
        <rFont val="Arial"/>
        <family val="2"/>
      </rPr>
      <t xml:space="preserve">, Cold moist =&gt; warm moist =&gt; cold moist sequence </t>
    </r>
    <r>
      <rPr>
        <sz val="10"/>
        <rFont val="Arial"/>
        <family val="2"/>
      </rPr>
      <t xml:space="preserve"> </t>
    </r>
  </si>
  <si>
    <t>CHOOSE A RATE SPECIFICATION:</t>
  </si>
  <si>
    <t>DATE REVISED 11/08</t>
  </si>
  <si>
    <r>
      <t>Cold moist stratification</t>
    </r>
    <r>
      <rPr>
        <sz val="10"/>
        <color indexed="8"/>
        <rFont val="Arial"/>
        <family val="2"/>
      </rPr>
      <t xml:space="preserve">, Light required for germination </t>
    </r>
    <r>
      <rPr>
        <sz val="10"/>
        <rFont val="Arial"/>
        <family val="2"/>
      </rPr>
      <t xml:space="preserve"> </t>
    </r>
  </si>
  <si>
    <r>
      <t>Cold moist stratification</t>
    </r>
    <r>
      <rPr>
        <sz val="10"/>
        <color indexed="8"/>
        <rFont val="Arial"/>
        <family val="2"/>
      </rPr>
      <t xml:space="preserve">, Parasitic-requires a host plant, Light required for germination </t>
    </r>
    <r>
      <rPr>
        <sz val="10"/>
        <rFont val="Arial"/>
        <family val="2"/>
      </rPr>
      <t xml:space="preserve"> </t>
    </r>
  </si>
  <si>
    <r>
      <t>Plant fresh seed</t>
    </r>
    <r>
      <rPr>
        <sz val="10"/>
        <color indexed="8"/>
        <rFont val="Arial"/>
        <family val="2"/>
      </rPr>
      <t xml:space="preserve">, Cold moist =&gt; warm moist =&gt; cold moist sequence, Clone </t>
    </r>
    <r>
      <rPr>
        <sz val="10"/>
        <rFont val="Arial"/>
        <family val="2"/>
      </rPr>
      <t xml:space="preserve"> </t>
    </r>
  </si>
  <si>
    <r>
      <t>Cold moist stratification</t>
    </r>
    <r>
      <rPr>
        <sz val="10"/>
        <color indexed="8"/>
        <rFont val="Arial"/>
        <family val="2"/>
      </rPr>
      <t xml:space="preserve">(30) </t>
    </r>
    <r>
      <rPr>
        <sz val="10"/>
        <rFont val="Arial"/>
        <family val="2"/>
      </rPr>
      <t xml:space="preserve"> </t>
    </r>
  </si>
  <si>
    <r>
      <t>Cold moist stratification</t>
    </r>
    <r>
      <rPr>
        <sz val="10"/>
        <color indexed="8"/>
        <rFont val="Arial"/>
        <family val="2"/>
      </rPr>
      <t xml:space="preserve">(30),Prefers cool soil, Light required for germination </t>
    </r>
    <r>
      <rPr>
        <sz val="10"/>
        <rFont val="Arial"/>
        <family val="2"/>
      </rPr>
      <t xml:space="preserve"> </t>
    </r>
  </si>
  <si>
    <t xml:space="preserve">Cold moist stratification(120) Fall plant  </t>
  </si>
  <si>
    <t xml:space="preserve">Cold moist stratification(10),Requires scarification  </t>
  </si>
  <si>
    <t xml:space="preserve">Fall plant/Cold moist stratification(120),Prefers cool soil </t>
  </si>
  <si>
    <r>
      <t>Light required for germination</t>
    </r>
    <r>
      <rPr>
        <sz val="10"/>
        <color indexed="8"/>
        <rFont val="Arial"/>
        <family val="2"/>
      </rPr>
      <t xml:space="preserve"> </t>
    </r>
    <r>
      <rPr>
        <sz val="10"/>
        <rFont val="Arial"/>
        <family val="2"/>
      </rPr>
      <t xml:space="preserve"> </t>
    </r>
  </si>
  <si>
    <t xml:space="preserve">Cold moist stratification or Dry cold storage, Light required for germination </t>
  </si>
  <si>
    <t xml:space="preserve">Dry cold storage, Legume-requires inoculation  </t>
  </si>
  <si>
    <r>
      <t>Cold moist stratification</t>
    </r>
    <r>
      <rPr>
        <sz val="10"/>
        <color indexed="8"/>
        <rFont val="Arial"/>
        <family val="2"/>
      </rPr>
      <t xml:space="preserve">(30),Prefers cool soil </t>
    </r>
    <r>
      <rPr>
        <sz val="10"/>
        <rFont val="Arial"/>
        <family val="2"/>
      </rPr>
      <t xml:space="preserve"> </t>
    </r>
  </si>
  <si>
    <r>
      <t>Cold moist stratification</t>
    </r>
    <r>
      <rPr>
        <sz val="10"/>
        <color indexed="8"/>
        <rFont val="Arial"/>
        <family val="2"/>
      </rPr>
      <t xml:space="preserve">(30),Parasitic-requires a host plant </t>
    </r>
    <r>
      <rPr>
        <sz val="10"/>
        <rFont val="Arial"/>
        <family val="2"/>
      </rPr>
      <t xml:space="preserve"> </t>
    </r>
  </si>
  <si>
    <r>
      <t>Warm moist =&gt; cold moist sequence</t>
    </r>
    <r>
      <rPr>
        <sz val="10"/>
        <color indexed="8"/>
        <rFont val="Arial"/>
        <family val="2"/>
      </rPr>
      <t xml:space="preserve">, Plant fresh seed </t>
    </r>
    <r>
      <rPr>
        <sz val="10"/>
        <rFont val="Arial"/>
        <family val="2"/>
      </rPr>
      <t xml:space="preserve"> </t>
    </r>
  </si>
  <si>
    <t xml:space="preserve">Cold moist stratification(10),Requires scarification, Legume-requires inoculation    </t>
  </si>
  <si>
    <t>Warm moist =&gt; cold moist sequence</t>
  </si>
  <si>
    <t>SM,MF, SEM</t>
  </si>
  <si>
    <t xml:space="preserve">Cold moist stratification(90),Light required for germination Fall plant  </t>
  </si>
  <si>
    <t xml:space="preserve">Plant fresh seed, Fall plant or Cold moist =&gt; warm moist =&gt; cold moist sequence  </t>
  </si>
  <si>
    <t xml:space="preserve">Cold moist stratification(10)Legume-requires inoculation  </t>
  </si>
  <si>
    <t xml:space="preserve"> Fall plant Cold moist stratification, Prefers cool soil, Light required for germination  </t>
  </si>
  <si>
    <t xml:space="preserve">Plant fresh seed, Fall plant or Cold moist stratification  </t>
  </si>
  <si>
    <r>
      <t>Cold moist stratification</t>
    </r>
    <r>
      <rPr>
        <sz val="10"/>
        <color indexed="8"/>
        <rFont val="Arial"/>
        <family val="2"/>
      </rPr>
      <t xml:space="preserve">, Prefers cool soil, Light required for germination </t>
    </r>
    <r>
      <rPr>
        <sz val="10"/>
        <rFont val="Arial"/>
        <family val="2"/>
      </rPr>
      <t xml:space="preserve"> </t>
    </r>
  </si>
  <si>
    <t xml:space="preserve">Dry cold storage, Requires scarification, Legume-requires inoculation  </t>
  </si>
  <si>
    <r>
      <t>Dry cold storage</t>
    </r>
    <r>
      <rPr>
        <sz val="10"/>
        <color indexed="8"/>
        <rFont val="Arial"/>
        <family val="2"/>
      </rPr>
      <t xml:space="preserve"> or Cold moist stratification </t>
    </r>
    <r>
      <rPr>
        <sz val="10"/>
        <rFont val="Arial"/>
        <family val="2"/>
      </rPr>
      <t xml:space="preserve"> </t>
    </r>
  </si>
  <si>
    <r>
      <t>Cold moist stratification</t>
    </r>
    <r>
      <rPr>
        <sz val="10"/>
        <color indexed="8"/>
        <rFont val="Arial"/>
        <family val="2"/>
      </rPr>
      <t xml:space="preserve">, Prefers cool soil </t>
    </r>
    <r>
      <rPr>
        <sz val="10"/>
        <rFont val="Arial"/>
        <family val="2"/>
      </rPr>
      <t xml:space="preserve"> </t>
    </r>
  </si>
  <si>
    <r>
      <t>Hot water treatment</t>
    </r>
    <r>
      <rPr>
        <sz val="10"/>
        <color indexed="8"/>
        <rFont val="Arial"/>
        <family val="2"/>
      </rPr>
      <t xml:space="preserve">, Cold moist stratification(30) </t>
    </r>
    <r>
      <rPr>
        <sz val="10"/>
        <rFont val="Arial"/>
        <family val="2"/>
      </rPr>
      <t xml:space="preserve"> </t>
    </r>
  </si>
  <si>
    <r>
      <t>Plant fresh seed</t>
    </r>
    <r>
      <rPr>
        <sz val="10"/>
        <color indexed="8"/>
        <rFont val="Arial"/>
        <family val="2"/>
      </rPr>
      <t xml:space="preserve"> or Warm moist =&gt; cold moist sequence </t>
    </r>
    <r>
      <rPr>
        <sz val="10"/>
        <rFont val="Arial"/>
        <family val="2"/>
      </rPr>
      <t xml:space="preserve"> </t>
    </r>
  </si>
  <si>
    <r>
      <t>Cold moist stratification</t>
    </r>
    <r>
      <rPr>
        <sz val="10"/>
        <color indexed="8"/>
        <rFont val="Arial"/>
        <family val="2"/>
      </rPr>
      <t xml:space="preserve">(21),Requires light for germination, Prefers cool soil </t>
    </r>
    <r>
      <rPr>
        <sz val="10"/>
        <rFont val="Arial"/>
        <family val="2"/>
      </rPr>
      <t xml:space="preserve"> </t>
    </r>
  </si>
  <si>
    <r>
      <t>Cold moist stratification</t>
    </r>
    <r>
      <rPr>
        <sz val="10"/>
        <color indexed="8"/>
        <rFont val="Arial"/>
        <family val="2"/>
      </rPr>
      <t>, Parasitic-requires a host plant, Light required for germination</t>
    </r>
    <r>
      <rPr>
        <sz val="10"/>
        <rFont val="Arial"/>
        <family val="2"/>
      </rPr>
      <t xml:space="preserve"> </t>
    </r>
  </si>
  <si>
    <r>
      <t>Cold moist stratification</t>
    </r>
    <r>
      <rPr>
        <sz val="10"/>
        <color indexed="8"/>
        <rFont val="Arial"/>
        <family val="2"/>
      </rPr>
      <t xml:space="preserve"> or Dry cold storage? </t>
    </r>
    <r>
      <rPr>
        <sz val="10"/>
        <rFont val="Arial"/>
        <family val="2"/>
      </rPr>
      <t xml:space="preserve"> </t>
    </r>
  </si>
  <si>
    <t xml:space="preserve">Cold moist stratification Fall plant  </t>
  </si>
  <si>
    <r>
      <t>Cold moist stratification</t>
    </r>
    <r>
      <rPr>
        <sz val="10"/>
        <color indexed="8"/>
        <rFont val="Arial"/>
        <family val="2"/>
      </rPr>
      <t xml:space="preserve">(70) </t>
    </r>
    <r>
      <rPr>
        <sz val="10"/>
        <rFont val="Arial"/>
        <family val="2"/>
      </rPr>
      <t xml:space="preserve"> </t>
    </r>
  </si>
  <si>
    <r>
      <t xml:space="preserve">Clone </t>
    </r>
    <r>
      <rPr>
        <sz val="10"/>
        <rFont val="Arial"/>
        <family val="2"/>
      </rPr>
      <t xml:space="preserve"> </t>
    </r>
  </si>
  <si>
    <t>Germination</t>
  </si>
  <si>
    <t>NE</t>
  </si>
  <si>
    <t>SW</t>
  </si>
  <si>
    <t>NC</t>
  </si>
  <si>
    <t>SE</t>
  </si>
  <si>
    <t>NW</t>
  </si>
  <si>
    <t>Cold Moist Stratification</t>
  </si>
  <si>
    <t>none</t>
  </si>
  <si>
    <t>C</t>
  </si>
  <si>
    <t>Spring,</t>
  </si>
  <si>
    <t>Clone</t>
  </si>
  <si>
    <t>Cold Period Required, Clone</t>
  </si>
  <si>
    <t>Fall Plant Seed</t>
  </si>
  <si>
    <t>Cold Period Required</t>
  </si>
  <si>
    <t>Plant Fresh Seed</t>
  </si>
  <si>
    <t>Dry Cold Storage</t>
  </si>
  <si>
    <t>Cold Moist Stratification, Cold Period Required</t>
  </si>
  <si>
    <t>Cold Moist Stratification, Scarification, Cold Period Required</t>
  </si>
  <si>
    <t>Cold Moist Stratification(10)</t>
  </si>
  <si>
    <t>Hot Water Treatment Or Scarification Needed, Cold Moist Stratification(70)</t>
  </si>
  <si>
    <t>Cold Moist Stratification, Seeds Need Cold Period</t>
  </si>
  <si>
    <t>Dry Cold Storage, Light Required For Germination</t>
  </si>
  <si>
    <t>Dry Cold Storage Or Cold Moist Stratification</t>
  </si>
  <si>
    <t>Legume-Requires Inoculation</t>
  </si>
  <si>
    <t>Bunch</t>
  </si>
  <si>
    <t>Rhizomatous</t>
  </si>
  <si>
    <t>Colonizing</t>
  </si>
  <si>
    <t>Single Stem</t>
  </si>
  <si>
    <t>Thicket Forming</t>
  </si>
  <si>
    <t>Growth Form</t>
  </si>
  <si>
    <t>Perennial Forb</t>
  </si>
  <si>
    <t>Biennial Forb</t>
  </si>
  <si>
    <t>Annual Forb</t>
  </si>
  <si>
    <t>Perennial Forb, Legume</t>
  </si>
  <si>
    <t>Perennial Forb, Hemiparasite</t>
  </si>
  <si>
    <t>Annual Forb, Hemiparasite</t>
  </si>
  <si>
    <t>Annual Forb, Legume</t>
  </si>
  <si>
    <t>Annual Forb, Parasitic</t>
  </si>
  <si>
    <t>Shrub</t>
  </si>
  <si>
    <t>Sub-Shrub</t>
  </si>
  <si>
    <t>Cactus</t>
  </si>
  <si>
    <t>Tree</t>
  </si>
  <si>
    <t>Sub-Shrub, Legume</t>
  </si>
  <si>
    <t>Herbaceous Vine</t>
  </si>
  <si>
    <t>Herbaceous Vine, Annual</t>
  </si>
  <si>
    <t>Herbaceous Vine, Legume, Annual</t>
  </si>
  <si>
    <t>Herbaceous Vine, Legume</t>
  </si>
  <si>
    <t>Woody Vine</t>
  </si>
  <si>
    <t>,CM,</t>
  </si>
  <si>
    <t>,CD,</t>
  </si>
  <si>
    <t>LI</t>
  </si>
  <si>
    <t>,CM,LI</t>
  </si>
  <si>
    <t xml:space="preserve">CD </t>
  </si>
  <si>
    <t>CD LI</t>
  </si>
  <si>
    <t>CD</t>
  </si>
  <si>
    <t>CD,LI</t>
  </si>
  <si>
    <t>CM</t>
  </si>
  <si>
    <t>,CD,LI</t>
  </si>
  <si>
    <t>Critical Area</t>
  </si>
  <si>
    <t>Waterway</t>
  </si>
  <si>
    <t>Andropogon gerardii</t>
  </si>
  <si>
    <t>Equivalent rate below</t>
  </si>
  <si>
    <t>VISIBLE</t>
  </si>
  <si>
    <t>Flowering Period</t>
  </si>
  <si>
    <t>Scirpus atrovirens</t>
  </si>
  <si>
    <t>Carex vulpinoidea</t>
  </si>
  <si>
    <t>Fox Sedge</t>
  </si>
  <si>
    <t>Koeleria macrantha</t>
  </si>
  <si>
    <t>Alumroot</t>
  </si>
  <si>
    <t>Sisyrinchium campestre</t>
  </si>
  <si>
    <t>Anemone canadensis</t>
  </si>
  <si>
    <t>Gentianopsis crinita</t>
  </si>
  <si>
    <t>Fringed Loosestrife</t>
  </si>
  <si>
    <t>Gentiana alba</t>
  </si>
  <si>
    <t>Pulsatilla patens</t>
  </si>
  <si>
    <t>Artemisia ludoviciana</t>
  </si>
  <si>
    <t>Ludwigia alternifolia</t>
  </si>
  <si>
    <t>Seedbox</t>
  </si>
  <si>
    <t>Lobelia spicata</t>
  </si>
  <si>
    <t>Swamp Buttercup</t>
  </si>
  <si>
    <t>Asclepias verticillata</t>
  </si>
  <si>
    <t>Schizachyrium scoparium</t>
  </si>
  <si>
    <t>Hesperostipa spartea</t>
  </si>
  <si>
    <t>Boneset</t>
  </si>
  <si>
    <t>Sneezeweed</t>
  </si>
  <si>
    <t>Woody</t>
  </si>
  <si>
    <t>Astragalus crassicarpus</t>
  </si>
  <si>
    <t>Dry</t>
  </si>
  <si>
    <t>Medium</t>
  </si>
  <si>
    <t>Wet</t>
  </si>
  <si>
    <t>X</t>
  </si>
  <si>
    <t>Prairie</t>
  </si>
  <si>
    <t>Savanna</t>
  </si>
  <si>
    <t>Wetland</t>
  </si>
  <si>
    <t>Habitat</t>
  </si>
  <si>
    <t>Woodland</t>
  </si>
  <si>
    <t>EC</t>
  </si>
  <si>
    <t>All</t>
  </si>
  <si>
    <t>REGION</t>
  </si>
  <si>
    <t>Buena Vista</t>
  </si>
  <si>
    <t>Butler</t>
  </si>
  <si>
    <t>Allamakee</t>
  </si>
  <si>
    <t>Audubon</t>
  </si>
  <si>
    <t>Boone</t>
  </si>
  <si>
    <t>Cherokee</t>
  </si>
  <si>
    <t>Cerro Gordo</t>
  </si>
  <si>
    <t>Black Hawk</t>
  </si>
  <si>
    <t>Calhoun</t>
  </si>
  <si>
    <t>Dallas</t>
  </si>
  <si>
    <t>Clay</t>
  </si>
  <si>
    <t>Floyd</t>
  </si>
  <si>
    <t>Bremer</t>
  </si>
  <si>
    <t>Carroll</t>
  </si>
  <si>
    <t>Grundy</t>
  </si>
  <si>
    <t>Dickinson</t>
  </si>
  <si>
    <t>Franklin</t>
  </si>
  <si>
    <t>Buchanan</t>
  </si>
  <si>
    <t>Crawford</t>
  </si>
  <si>
    <t>Hamilton</t>
  </si>
  <si>
    <t>Emmet</t>
  </si>
  <si>
    <t>Hancock</t>
  </si>
  <si>
    <t>Chickasaw</t>
  </si>
  <si>
    <t>Greene</t>
  </si>
  <si>
    <t>Hardin</t>
  </si>
  <si>
    <t>Lyon</t>
  </si>
  <si>
    <t>Humboldt</t>
  </si>
  <si>
    <t>Clayton</t>
  </si>
  <si>
    <t>Guthrie</t>
  </si>
  <si>
    <t>Jasper</t>
  </si>
  <si>
    <t>O'Brien</t>
  </si>
  <si>
    <t>Kossuth</t>
  </si>
  <si>
    <t>Delaware</t>
  </si>
  <si>
    <t>Harrison</t>
  </si>
  <si>
    <t>Marshall</t>
  </si>
  <si>
    <t>Osceola</t>
  </si>
  <si>
    <t>Mitchell</t>
  </si>
  <si>
    <t>Dubuque</t>
  </si>
  <si>
    <t>Ida</t>
  </si>
  <si>
    <t>Polk</t>
  </si>
  <si>
    <t>Palo Alto</t>
  </si>
  <si>
    <t>Winnebago</t>
  </si>
  <si>
    <t>Fayette</t>
  </si>
  <si>
    <t>Monona</t>
  </si>
  <si>
    <t>Poweshiek</t>
  </si>
  <si>
    <t>Plymouth</t>
  </si>
  <si>
    <t>Worth</t>
  </si>
  <si>
    <t>Howard</t>
  </si>
  <si>
    <t>Sac</t>
  </si>
  <si>
    <t>Story</t>
  </si>
  <si>
    <t>Pocahontas</t>
  </si>
  <si>
    <t>Wright</t>
  </si>
  <si>
    <t>Winneshiek</t>
  </si>
  <si>
    <t>Shelby</t>
  </si>
  <si>
    <t>Tama</t>
  </si>
  <si>
    <t>Sioux</t>
  </si>
  <si>
    <t>Woodbury</t>
  </si>
  <si>
    <t>Webster</t>
  </si>
  <si>
    <t>Benton</t>
  </si>
  <si>
    <t>Adair</t>
  </si>
  <si>
    <t>Appanoose</t>
  </si>
  <si>
    <t>Davis</t>
  </si>
  <si>
    <t>Cedar</t>
  </si>
  <si>
    <t>Adams</t>
  </si>
  <si>
    <t>Clarke</t>
  </si>
  <si>
    <t>Des Moines</t>
  </si>
  <si>
    <t>Clinton</t>
  </si>
  <si>
    <t>Cass</t>
  </si>
  <si>
    <t>Decatur</t>
  </si>
  <si>
    <t>Henry</t>
  </si>
  <si>
    <t>Iowa</t>
  </si>
  <si>
    <t>Fremont</t>
  </si>
  <si>
    <t>Lucas</t>
  </si>
  <si>
    <t>Jefferson</t>
  </si>
  <si>
    <t>Jackson</t>
  </si>
  <si>
    <t>Mills</t>
  </si>
  <si>
    <t>Madison</t>
  </si>
  <si>
    <t>Keokuk</t>
  </si>
  <si>
    <t>Johnson</t>
  </si>
  <si>
    <t>Montgomery</t>
  </si>
  <si>
    <t>Mahaska</t>
  </si>
  <si>
    <t>Lee</t>
  </si>
  <si>
    <t>Jones</t>
  </si>
  <si>
    <t>Page</t>
  </si>
  <si>
    <t>Marion</t>
  </si>
  <si>
    <t>Louisa</t>
  </si>
  <si>
    <t>Linn</t>
  </si>
  <si>
    <t>Pottawattamie</t>
  </si>
  <si>
    <t>Monroe</t>
  </si>
  <si>
    <t>Muscatine</t>
  </si>
  <si>
    <t>Scott</t>
  </si>
  <si>
    <t>Ringgold</t>
  </si>
  <si>
    <t>Warren</t>
  </si>
  <si>
    <t>Van Buren</t>
  </si>
  <si>
    <t>Taylor</t>
  </si>
  <si>
    <t>Wayne</t>
  </si>
  <si>
    <t>Wapello</t>
  </si>
  <si>
    <t>Union</t>
  </si>
  <si>
    <t>Washington</t>
  </si>
  <si>
    <t>% of Mix</t>
  </si>
  <si>
    <t>CHOOSE YOUR VINE OR WOODY PLANT SPECIES</t>
  </si>
  <si>
    <t>VINE &amp; WOODY PLANT TOTAL</t>
  </si>
  <si>
    <t>TOTAL VINE &amp; WOODY  COST ($/AC)</t>
  </si>
  <si>
    <t>Customize Options to Suit Site Conditions</t>
  </si>
  <si>
    <t xml:space="preserve">GRAMINOID TOTAL  </t>
  </si>
  <si>
    <t xml:space="preserve"> GRAMINOID COST ($/AC)</t>
  </si>
  <si>
    <t xml:space="preserve"> FORBES/LEGUMES COST ($/AC)</t>
  </si>
  <si>
    <r>
      <t>seeds / ft</t>
    </r>
    <r>
      <rPr>
        <b/>
        <vertAlign val="superscript"/>
        <sz val="12"/>
        <rFont val="Arial"/>
        <family val="2"/>
      </rPr>
      <t>2</t>
    </r>
    <r>
      <rPr>
        <b/>
        <sz val="12"/>
        <rFont val="Arial"/>
        <family val="2"/>
      </rPr>
      <t xml:space="preserve"> PLS</t>
    </r>
  </si>
  <si>
    <t>Frost Seed: Feb 1 - March 15</t>
  </si>
  <si>
    <t>Spring Seed: Apr 15 - Jul 1</t>
  </si>
  <si>
    <t>Dormant Seed: Nov 15 - Freeze-up</t>
  </si>
  <si>
    <t xml:space="preserve">To override default cost, enter your cost in the applicable cell. </t>
  </si>
  <si>
    <t>Pure Stand PLS Rate       lbs / ac</t>
  </si>
  <si>
    <t>Iowa NRCS Native Seed Calculator Instructions</t>
  </si>
  <si>
    <t>1. Select  site conditions appropriate for the seed mix being developed:</t>
  </si>
  <si>
    <t>A.</t>
  </si>
  <si>
    <t>B.</t>
  </si>
  <si>
    <t>C.</t>
  </si>
  <si>
    <t>D.</t>
  </si>
  <si>
    <t>2. Choose a seeding rate option (lbs/acre PLS or seeds/ft2 PLS).  The calculator will determine the equivalent rates and place them in the appropriate column.</t>
  </si>
  <si>
    <t>Eilers and Roosa. 2004. The Vascular Plants of Iowa. University of Iowa Press, Iowa City. 304 pp.</t>
  </si>
  <si>
    <t>The University of Texas at Austin Native Plant Database http://www.wildflower.org/plants/</t>
  </si>
  <si>
    <t>References used in the development of site selection criteria:</t>
  </si>
  <si>
    <t>Flora of North America: http://www.efloras.org/flora_page.aspx?flora_id=1</t>
  </si>
  <si>
    <t>Illinois Wildflowers: http://www.illinoiswildflowers.info/index.htm</t>
  </si>
  <si>
    <t>Bastard Toadflax</t>
  </si>
  <si>
    <t>Comandra umbellata</t>
  </si>
  <si>
    <t>Parasitic-requires a host plant</t>
  </si>
  <si>
    <t>Black-eyed Susan</t>
  </si>
  <si>
    <t>Blacksamson Echinacea</t>
  </si>
  <si>
    <t xml:space="preserve">Fall plant Cold moist stratification(120)   </t>
  </si>
  <si>
    <t>Blue Phlox</t>
  </si>
  <si>
    <t xml:space="preserve">Dry cold storage or Cold moist stratification, Light required for germination  </t>
  </si>
  <si>
    <t xml:space="preserve">Cold moist stratification, Light required for germination  </t>
  </si>
  <si>
    <t>Brown-eyed Susan</t>
  </si>
  <si>
    <r>
      <rPr>
        <sz val="10"/>
        <color indexed="8"/>
        <rFont val="Arial"/>
        <family val="2"/>
      </rPr>
      <t xml:space="preserve">Cold moist stratification or Dry cold storage </t>
    </r>
    <r>
      <rPr>
        <sz val="10"/>
        <rFont val="Arial"/>
        <family val="2"/>
      </rPr>
      <t xml:space="preserve"> </t>
    </r>
  </si>
  <si>
    <t>Canadian Lousewort</t>
  </si>
  <si>
    <t xml:space="preserve">Dry cold storage, Light required for germination  </t>
  </si>
  <si>
    <t xml:space="preserve">Dry cold storage, Light required for germination </t>
  </si>
  <si>
    <t xml:space="preserve">Cold moist stratification, Light required for germination </t>
  </si>
  <si>
    <t>Elm-leaved Goldenrod</t>
  </si>
  <si>
    <t>French-grass</t>
  </si>
  <si>
    <t>Goat's-rue</t>
  </si>
  <si>
    <t>Grass-leaved Goldenrod</t>
  </si>
  <si>
    <t>Gray-headed Coneflower</t>
  </si>
  <si>
    <t>Great Indian Plaintain</t>
  </si>
  <si>
    <t>Hairy Pagoda-plant</t>
  </si>
  <si>
    <t>Halberd-leaved Rose Mallow</t>
  </si>
  <si>
    <t>Heart-leaved Meadow Parsnip</t>
  </si>
  <si>
    <t>Heart-leaved Skullcap</t>
  </si>
  <si>
    <t>Large-flowered Beardtongue</t>
  </si>
  <si>
    <t>Long-headed Coneflower</t>
  </si>
  <si>
    <t>Mad-dog Skullcap</t>
  </si>
  <si>
    <t>Meadow Evening Primrose</t>
  </si>
  <si>
    <t>Narrow-leaved Loosestrife</t>
  </si>
  <si>
    <t>Ontario Blazing Star</t>
  </si>
  <si>
    <t>Ox-eye</t>
  </si>
  <si>
    <t>Pickerel-weed</t>
  </si>
  <si>
    <t>Prairie Blue-eyed Grass</t>
  </si>
  <si>
    <t>Prairie Coreopsis</t>
  </si>
  <si>
    <t>Purple Meadow-rue</t>
  </si>
  <si>
    <t>Rattlesnake-root, White Lettuce</t>
  </si>
  <si>
    <t>Rocky Mountain Blazing Star</t>
  </si>
  <si>
    <t>Round-headed Bush Clover</t>
  </si>
  <si>
    <t>Requires light for germination</t>
  </si>
  <si>
    <t>Saw-tooth Sunflower</t>
  </si>
  <si>
    <t>Scaly Blazing Star</t>
  </si>
  <si>
    <t>Showy Ticktrefoil</t>
  </si>
  <si>
    <t>Side-flowered Aster</t>
  </si>
  <si>
    <t>Soft-hair Marbleseed</t>
  </si>
  <si>
    <t>Stiff Sandwort</t>
  </si>
  <si>
    <t>Arenaria stricta</t>
  </si>
  <si>
    <t>Cold moist stratification (60), Light required for germination</t>
  </si>
  <si>
    <t>Stout Blue-eyed Grass</t>
  </si>
  <si>
    <t>Swamp Candle</t>
  </si>
  <si>
    <t>Tall Blazing Star</t>
  </si>
  <si>
    <t>Venus' Looking-glass</t>
  </si>
  <si>
    <t xml:space="preserve">Fall plant Cold moist stratification  </t>
  </si>
  <si>
    <t xml:space="preserve">Fall plant, Cold moist stratification   </t>
  </si>
  <si>
    <t>White Prairie Blue-eyed Grass</t>
  </si>
  <si>
    <t xml:space="preserve">Fall plant Cold moist stratification, Prefers cool soil, Light required for germination  </t>
  </si>
  <si>
    <t xml:space="preserve">Fall plant Cold moist stratification(120)  </t>
  </si>
  <si>
    <t>Wild Bergamot</t>
  </si>
  <si>
    <t>Devil's-tongue</t>
  </si>
  <si>
    <r>
      <t>seeds / ft</t>
    </r>
    <r>
      <rPr>
        <b/>
        <vertAlign val="superscript"/>
        <sz val="10"/>
        <color indexed="57"/>
        <rFont val="Arial"/>
        <family val="2"/>
      </rPr>
      <t>2</t>
    </r>
    <r>
      <rPr>
        <b/>
        <sz val="10"/>
        <color indexed="57"/>
        <rFont val="Arial"/>
        <family val="2"/>
      </rPr>
      <t xml:space="preserve"> PLS</t>
    </r>
  </si>
  <si>
    <t>3. Select species based on the requirements of the appropriate standards and guidance.  Species can be selected by clicking on the drop down menu under the "Common Name:" header.  All species in the calculator have been reported as commercially available by vendors in Iowa or adjacent states at some point in time. Species availability may vary and can only be confirmed through a seed vendor(s).</t>
  </si>
  <si>
    <r>
      <t xml:space="preserve">4. The seeding calculator will provide an </t>
    </r>
    <r>
      <rPr>
        <b/>
        <u/>
        <sz val="10"/>
        <rFont val="Arial"/>
        <family val="2"/>
      </rPr>
      <t>estimated</t>
    </r>
    <r>
      <rPr>
        <b/>
        <sz val="10"/>
        <rFont val="Arial"/>
        <family val="2"/>
      </rPr>
      <t xml:space="preserve"> cost.  If you have actual cost data it can be entered in the cost column on the calculator page to override the estimated cost.  Seed cost can be highly variable and can only be confirmed through a quote from a seed vendor(s).</t>
    </r>
  </si>
  <si>
    <t>Short-term Program (Y = &lt; $0.0017)</t>
  </si>
  <si>
    <t>Short-term Program (Y = &lt; $0.0069)</t>
  </si>
  <si>
    <t xml:space="preserve">Veratrum virginicum  </t>
  </si>
  <si>
    <t xml:space="preserve">Hypericum ascyron  </t>
  </si>
  <si>
    <t>Purple Rattlesnakeroot</t>
  </si>
  <si>
    <t>Eastern Pasqueflower</t>
  </si>
  <si>
    <t>Pennsylvania Smartweed</t>
  </si>
  <si>
    <t>Short-term Program (Y = &lt; $0.3)</t>
  </si>
  <si>
    <t xml:space="preserve">Strophostyles helvola  </t>
  </si>
  <si>
    <t>C(10),Legume-requires inoculation</t>
  </si>
  <si>
    <t>Spotted Trumpetweed</t>
  </si>
  <si>
    <t>Warm-moist followed by cold moist stratification</t>
  </si>
  <si>
    <t>Common Goldstar</t>
  </si>
  <si>
    <t>Great Waterleaf</t>
  </si>
  <si>
    <t>Giant St. Johnswort</t>
  </si>
  <si>
    <t>Longbract Spiderwort</t>
  </si>
  <si>
    <t>Marsh St. Johnswort</t>
  </si>
  <si>
    <t>White Panicle Aster</t>
  </si>
  <si>
    <t>Panicledleaf Ticktrefoil</t>
  </si>
  <si>
    <t>Sweetscented Joe Pye Weed</t>
  </si>
  <si>
    <t xml:space="preserve">Cold moist stratification(10),Legume-requires inoculation  </t>
  </si>
  <si>
    <t>Spotted St. Johnswort</t>
  </si>
  <si>
    <t xml:space="preserve">Shrubby St. Johnswort  </t>
  </si>
  <si>
    <t>Virginia bunchflower</t>
  </si>
  <si>
    <t>Illinois Ticktrefoil</t>
  </si>
  <si>
    <t>Pointed Ticktrefoil</t>
  </si>
  <si>
    <r>
      <t>Eupatoriadelphus</t>
    </r>
    <r>
      <rPr>
        <sz val="10"/>
        <rFont val="Arial"/>
        <family val="2"/>
      </rPr>
      <t xml:space="preserve"> </t>
    </r>
    <r>
      <rPr>
        <i/>
        <sz val="10"/>
        <rFont val="Arial"/>
        <family val="2"/>
      </rPr>
      <t>maculatus</t>
    </r>
    <r>
      <rPr>
        <sz val="10"/>
        <rFont val="Arial"/>
        <family val="2"/>
      </rPr>
      <t xml:space="preserve"> </t>
    </r>
  </si>
  <si>
    <t>Lbs / acre PLS</t>
  </si>
  <si>
    <t>Seeds / ft2 PLS</t>
  </si>
  <si>
    <r>
      <t>Select a soil moisture category for the area to be seeded.  Soil moisture choices are Xeric (Dry), Mesic (Medium), or Hydric (Wet).  This process will filter the list of species to those adapted to the selected soil moisture regime.</t>
    </r>
    <r>
      <rPr>
        <b/>
        <vertAlign val="superscript"/>
        <sz val="10"/>
        <rFont val="Arial"/>
        <family val="2"/>
      </rPr>
      <t>1,2,3,4,5,6</t>
    </r>
    <r>
      <rPr>
        <b/>
        <sz val="10"/>
        <color indexed="60"/>
        <rFont val="Arial"/>
        <family val="2"/>
      </rPr>
      <t xml:space="preserve"> </t>
    </r>
  </si>
  <si>
    <r>
      <t>Select a county to filter the list to species native to that region of the state.</t>
    </r>
    <r>
      <rPr>
        <b/>
        <vertAlign val="superscript"/>
        <sz val="10"/>
        <rFont val="Arial"/>
        <family val="2"/>
      </rPr>
      <t>1,5,6</t>
    </r>
  </si>
  <si>
    <t xml:space="preserve">Pammel, L. H., C.R. Ball, F. Lamson-Scribner. 1903.  The Grasses of Iowa       Part II. Iowa Geologic Survey Supplementary Report 436 pp. </t>
  </si>
  <si>
    <t>Pohl, Richard.  1966.  The Grasses (Gramineae) of Iowa. Iowa State Journal of Science 40: 341-566.</t>
  </si>
  <si>
    <t>Agrostis hyemalis</t>
  </si>
  <si>
    <t>winter bentgrass</t>
  </si>
  <si>
    <t>Agrostis antecedens</t>
  </si>
  <si>
    <t>Cornucopiae hyemalis</t>
  </si>
  <si>
    <t>Agrostis perennans</t>
  </si>
  <si>
    <t>upland bentgrass</t>
  </si>
  <si>
    <t>Agrostis altissima</t>
  </si>
  <si>
    <t>Agrostis elata</t>
  </si>
  <si>
    <t>Agrostis oreophila</t>
  </si>
  <si>
    <t>Agrostis perennans var. aestivalis</t>
  </si>
  <si>
    <t>Agrostis perennans var. elata</t>
  </si>
  <si>
    <t>Agrostis schweinitzii</t>
  </si>
  <si>
    <t>Cornucopiae perennans</t>
  </si>
  <si>
    <t>Agrostis scabra</t>
  </si>
  <si>
    <t>rough bentgrass</t>
  </si>
  <si>
    <t>Agrostis geminata</t>
  </si>
  <si>
    <t>Agrostis hyemalis var. geminata</t>
  </si>
  <si>
    <t>Agrostis hyemalis var. scabra</t>
  </si>
  <si>
    <t>Agrostis hyemalis var. tenuis</t>
  </si>
  <si>
    <t>Agrostis scabra ssp. septentrionalis</t>
  </si>
  <si>
    <t>Agrostis scabra var. geminata</t>
  </si>
  <si>
    <t>Agrostis scabra var. septentrionalis</t>
  </si>
  <si>
    <t>Alopecurus aequalis</t>
  </si>
  <si>
    <t>shortawn foxtail</t>
  </si>
  <si>
    <t>Alopecurus aequalis var. aequalis</t>
  </si>
  <si>
    <t>Alopecurus aequalis var. natans</t>
  </si>
  <si>
    <t>Alopecurus aristulatus</t>
  </si>
  <si>
    <t>Alopecurus geniculatus var. aristulatus</t>
  </si>
  <si>
    <t>Alopecurus carolinianus</t>
  </si>
  <si>
    <t>Carolina foxtail</t>
  </si>
  <si>
    <t>Alopecurus macounii</t>
  </si>
  <si>
    <t>Alopecurus ramosus</t>
  </si>
  <si>
    <t>big bluestem</t>
  </si>
  <si>
    <t>Andropogon chrysocomus</t>
  </si>
  <si>
    <t>Andropogon furcatus</t>
  </si>
  <si>
    <t>Andropogon gerardii var. chrysocomus</t>
  </si>
  <si>
    <t>Andropogon provincialis</t>
  </si>
  <si>
    <t>Andropogon hallii</t>
  </si>
  <si>
    <t>sand bluestem</t>
  </si>
  <si>
    <t>Andropogon gerardii var. incanescens</t>
  </si>
  <si>
    <t>Andropogon gerardii var. paucipilus</t>
  </si>
  <si>
    <t>Andropogon hallii var. incanescens</t>
  </si>
  <si>
    <t>Andropogon paucipilus</t>
  </si>
  <si>
    <t>Andropogon virginicus</t>
  </si>
  <si>
    <t>broomsedge bluestem</t>
  </si>
  <si>
    <t>Andropogon virginicus var. virginicus</t>
  </si>
  <si>
    <t>Andropogon virginicus var. tetrastachyus</t>
  </si>
  <si>
    <t>Anatherum virginicum subvar. tetrastachyum</t>
  </si>
  <si>
    <t>Aristida basiramea</t>
  </si>
  <si>
    <t>forked threeawn</t>
  </si>
  <si>
    <t>Aristida dichotoma</t>
  </si>
  <si>
    <t>churchmouse threeawn</t>
  </si>
  <si>
    <t>Aristida dichotoma var. curtissii</t>
  </si>
  <si>
    <t>Curtis' threeawn</t>
  </si>
  <si>
    <t>Aristida basiramea var. curtissii</t>
  </si>
  <si>
    <t>Aristida curtissii</t>
  </si>
  <si>
    <t>Aristida dichotoma var. dichotoma</t>
  </si>
  <si>
    <t>Aristida longespica</t>
  </si>
  <si>
    <t>slimspike threeawn</t>
  </si>
  <si>
    <t>Aristida longispica</t>
  </si>
  <si>
    <t>Aristida longespica var. geniculata</t>
  </si>
  <si>
    <t>Aristida geniculata</t>
  </si>
  <si>
    <t>Aristida intermedia</t>
  </si>
  <si>
    <t>Aristida intermedia var. necopina</t>
  </si>
  <si>
    <t>Aristida longispica var. geniculata</t>
  </si>
  <si>
    <t>Aristida necopina</t>
  </si>
  <si>
    <t>Aristida longespica var. longespica</t>
  </si>
  <si>
    <t>Aristida gracilis</t>
  </si>
  <si>
    <t>Aristida longispica var. longispica</t>
  </si>
  <si>
    <t>Aristida oligantha</t>
  </si>
  <si>
    <t>prairie threeawn</t>
  </si>
  <si>
    <t>Aristida ramosissima var. chaseana</t>
  </si>
  <si>
    <t>Aristida purpurea</t>
  </si>
  <si>
    <t>purple threeawn</t>
  </si>
  <si>
    <t>Aristida purpurea var. longiseta</t>
  </si>
  <si>
    <t>Fendler threeawn</t>
  </si>
  <si>
    <t>Aristida longiseta</t>
  </si>
  <si>
    <t>Aristida longiseta var. rariflora</t>
  </si>
  <si>
    <t>Aristida longiseta var. robusta</t>
  </si>
  <si>
    <t>Aristida purpurea var. robusta</t>
  </si>
  <si>
    <t>Aristida ramosissima</t>
  </si>
  <si>
    <t>s-curve threeawn</t>
  </si>
  <si>
    <t>Aristida tuberculosa</t>
  </si>
  <si>
    <t>seaside threeawn</t>
  </si>
  <si>
    <t>Beckmannia syzigachne</t>
  </si>
  <si>
    <t>American sloughgrass</t>
  </si>
  <si>
    <t>Beckmannia eruciformis</t>
  </si>
  <si>
    <t>Beckmannia eruciformis ssp. baicalensis</t>
  </si>
  <si>
    <t>Beckmannia eruciformis var. uniflora</t>
  </si>
  <si>
    <t>Beckmannia syzigachne ssp. baicalensis</t>
  </si>
  <si>
    <t>Beckmannia syzigachne var. uniflora</t>
  </si>
  <si>
    <t>sideoats grama</t>
  </si>
  <si>
    <t>Bouteloua curtipendula var. curtipendula</t>
  </si>
  <si>
    <t>Atheropogon curtipendulus</t>
  </si>
  <si>
    <t>Chloris curtipendula</t>
  </si>
  <si>
    <t>Bouteloua dactyloides</t>
  </si>
  <si>
    <t>buffalograss</t>
  </si>
  <si>
    <t>Buchloe dactyloides</t>
  </si>
  <si>
    <t>Bulbilis dactyloides</t>
  </si>
  <si>
    <t>Sesleria dactyloides</t>
  </si>
  <si>
    <t>blue grama</t>
  </si>
  <si>
    <t>Bouteloua gracilis var. stricta</t>
  </si>
  <si>
    <t>Bouteloua oligostachya</t>
  </si>
  <si>
    <t>Chondrosum gracile</t>
  </si>
  <si>
    <t>Chondrosum oligostachyum</t>
  </si>
  <si>
    <t>hairy grama</t>
  </si>
  <si>
    <t>Bouteloua hirsuta var. hirsuta</t>
  </si>
  <si>
    <t>Bouteloua glandulosa</t>
  </si>
  <si>
    <t>Bouteloua hirsuta var. glandulosa</t>
  </si>
  <si>
    <t>Chondrosum hirsutum</t>
  </si>
  <si>
    <t>Brachyelytrum aristosum</t>
  </si>
  <si>
    <t>northern shorthusk</t>
  </si>
  <si>
    <t>Brachyelytrum aristosum var. glabratum</t>
  </si>
  <si>
    <t>Brachyelytrum erectum var. glabratum</t>
  </si>
  <si>
    <t>Brachyelytrum erectum var. septentrionale</t>
  </si>
  <si>
    <t>Brachyelytrum septentrionale</t>
  </si>
  <si>
    <t>Brachyelytrum erectum</t>
  </si>
  <si>
    <t>bearded shorthusk</t>
  </si>
  <si>
    <t>fringed brome</t>
  </si>
  <si>
    <t>Bromus ciliatus var. ciliatus</t>
  </si>
  <si>
    <t>Bromopsis canadensis</t>
  </si>
  <si>
    <t>Bromopsis ciliata</t>
  </si>
  <si>
    <t>Bromus canadensis</t>
  </si>
  <si>
    <t>Bromus ciliatus var. genuinus</t>
  </si>
  <si>
    <t>Bromus ciliatus var. intonsus</t>
  </si>
  <si>
    <t>Bromus dudleyi</t>
  </si>
  <si>
    <t>Bromus richardsonii var. pallidus</t>
  </si>
  <si>
    <t>Bromus inermis</t>
  </si>
  <si>
    <t>smooth brome</t>
  </si>
  <si>
    <t>arctic brome</t>
  </si>
  <si>
    <t>Bromopsis kalmii</t>
  </si>
  <si>
    <t>Bromus purgans</t>
  </si>
  <si>
    <t>Bromus latiglumis</t>
  </si>
  <si>
    <t>earlyleaf brome</t>
  </si>
  <si>
    <t>Bromus altissimus</t>
  </si>
  <si>
    <t>Bromus marginatus</t>
  </si>
  <si>
    <t>mountain brome</t>
  </si>
  <si>
    <t>Bromus breviaristatus</t>
  </si>
  <si>
    <t>Bromus carinatus var. linearis</t>
  </si>
  <si>
    <t>Bromus marginatus var. breviaristatus</t>
  </si>
  <si>
    <t>Bromus marginatus var. latior</t>
  </si>
  <si>
    <t>Bromus marginatus var. seminudus</t>
  </si>
  <si>
    <t>Bromus sitchensis var. marginatus</t>
  </si>
  <si>
    <t>Ceratochloa marginata</t>
  </si>
  <si>
    <t>Bromus nottowayanus</t>
  </si>
  <si>
    <t>Nottoway Valley brome</t>
  </si>
  <si>
    <t>Bromopsis nottowayana</t>
  </si>
  <si>
    <t>hairy woodland brome</t>
  </si>
  <si>
    <t>Bromopsis pubescens</t>
  </si>
  <si>
    <t>Bromus ciliatus var. laeviglumis</t>
  </si>
  <si>
    <t>Bromus pubescens var. laeviglumis</t>
  </si>
  <si>
    <t>Bromus purgans var. laeviglumis</t>
  </si>
  <si>
    <t>Bulbostylis capillaris</t>
  </si>
  <si>
    <t>densetuft hairsedge</t>
  </si>
  <si>
    <t>Bulbostylis capillaris ssp. capillaris</t>
  </si>
  <si>
    <t>Bulbostylis capillaris var. crebra</t>
  </si>
  <si>
    <t>Bulbostylis capillaris var. isopoda</t>
  </si>
  <si>
    <t>Fimbristylis capillaris</t>
  </si>
  <si>
    <t>Scirpus capillaris</t>
  </si>
  <si>
    <t>Stenophyllus capillaris</t>
  </si>
  <si>
    <t>bluejoint</t>
  </si>
  <si>
    <t>Calamagrostis canadensis var. canadensis</t>
  </si>
  <si>
    <t>Calamagrostis anomala</t>
  </si>
  <si>
    <t>Calamagrostis atropurpurea</t>
  </si>
  <si>
    <t>Calamagrostis canadensis var. imberbis</t>
  </si>
  <si>
    <t>Calamagrostis canadensis var. pallida</t>
  </si>
  <si>
    <t>Calamagrostis canadensis var. robusta</t>
  </si>
  <si>
    <t>Calamagrostis canadensis var. typica</t>
  </si>
  <si>
    <t>Calamagrostis expansa var. robusta</t>
  </si>
  <si>
    <t>Calamagrostis hyperborea</t>
  </si>
  <si>
    <t>Calamagrostis inexpansa var. cuprea</t>
  </si>
  <si>
    <t>Calamagrostis inexpansa var. robusta</t>
  </si>
  <si>
    <t>Calamagrostis scribneri</t>
  </si>
  <si>
    <t>Calamagrostis canadensis var. macouniana</t>
  </si>
  <si>
    <t>Macoun's reedgrass</t>
  </si>
  <si>
    <t>Calamagrostis macouniana</t>
  </si>
  <si>
    <t>Calamagrostis stricta</t>
  </si>
  <si>
    <t>slimstem reedgrass</t>
  </si>
  <si>
    <t>Calamagrostis stricta ssp. inexpansa</t>
  </si>
  <si>
    <t>northern reedgrass</t>
  </si>
  <si>
    <t>Calamagrostis californica</t>
  </si>
  <si>
    <t>Calamagrostis canadensis var. acuminata</t>
  </si>
  <si>
    <t>Calamagrostis canadensis var. arcta</t>
  </si>
  <si>
    <t>Calamagrostis chordorrhiza</t>
  </si>
  <si>
    <t>Calamagrostis crassiglumis</t>
  </si>
  <si>
    <t>Calamagrostis expansa</t>
  </si>
  <si>
    <t>Calamagrostis fernaldii</t>
  </si>
  <si>
    <t>Calamagrostis hyperborea var. americana</t>
  </si>
  <si>
    <t>Calamagrostis hyperborea var. elongata</t>
  </si>
  <si>
    <t>Calamagrostis hyperborea var. stenodes</t>
  </si>
  <si>
    <t>Calamagrostis inexpansa</t>
  </si>
  <si>
    <t>Calamagrostis inexpansa var. barbulata</t>
  </si>
  <si>
    <t>Calamagrostis inexpansa var. brevior</t>
  </si>
  <si>
    <t>Calamagrostis inexpansa var. novae-angliae</t>
  </si>
  <si>
    <t>Calamagrostis labradorica</t>
  </si>
  <si>
    <t>Calamagrostis lacustris</t>
  </si>
  <si>
    <t>Calamagrostis lapponica var. brevipilis</t>
  </si>
  <si>
    <t>Calamagrostis pickeringii var. lacustris</t>
  </si>
  <si>
    <t>Calamagrostis robertii</t>
  </si>
  <si>
    <t>Calamagrostis stricta var. brevior</t>
  </si>
  <si>
    <t>Calamagrostis stricta var. lacustris</t>
  </si>
  <si>
    <t>prairie sandreed</t>
  </si>
  <si>
    <t>Calamovilfa longifolia var. longifolia</t>
  </si>
  <si>
    <t>Calamovilfa longifolia var. magna</t>
  </si>
  <si>
    <t>Carex aggregata</t>
  </si>
  <si>
    <t>glomerate sedge</t>
  </si>
  <si>
    <t>Carex sparganioides var. aggregata</t>
  </si>
  <si>
    <t>Carex albicans</t>
  </si>
  <si>
    <t>whitetinge sedge</t>
  </si>
  <si>
    <t>Carex albicans var. albicans</t>
  </si>
  <si>
    <t>Carex artitecta</t>
  </si>
  <si>
    <t>Carex artitecta var. subtilirostris</t>
  </si>
  <si>
    <t>Carex emmonsii var. muehlenbergii</t>
  </si>
  <si>
    <t>Carex nigromarginata var. muehlenbergii</t>
  </si>
  <si>
    <t>Carex varia</t>
  </si>
  <si>
    <t>Carex albursina</t>
  </si>
  <si>
    <t>white bear sedge</t>
  </si>
  <si>
    <t>Carex laxiflora var. latifolia</t>
  </si>
  <si>
    <t>Carex alopecoidea</t>
  </si>
  <si>
    <t>foxtail sedge</t>
  </si>
  <si>
    <t>yellowfruit sedge</t>
  </si>
  <si>
    <t>Carex annectens var. xanthocarpa</t>
  </si>
  <si>
    <t>Carex brachyglossa</t>
  </si>
  <si>
    <t>Carex setacea var. ambigua</t>
  </si>
  <si>
    <t>Carex aquatilis</t>
  </si>
  <si>
    <t>water sedge</t>
  </si>
  <si>
    <t>Carex aquatilis var. aquatilis</t>
  </si>
  <si>
    <t>Carex acutinella</t>
  </si>
  <si>
    <t>Carex aquatilis ssp. altior</t>
  </si>
  <si>
    <t>Carex aquatilis var. altior</t>
  </si>
  <si>
    <t>Carex aquatilis var. substricta</t>
  </si>
  <si>
    <t>Carex substricta</t>
  </si>
  <si>
    <t>Carex suksdorfii</t>
  </si>
  <si>
    <t>Carex assiniboinensis</t>
  </si>
  <si>
    <t>Assiniboia sedge</t>
  </si>
  <si>
    <t>wheat sedge</t>
  </si>
  <si>
    <t>Carex austrina</t>
  </si>
  <si>
    <t>southern sedge</t>
  </si>
  <si>
    <t>Carex muehlenbergii var. australis</t>
  </si>
  <si>
    <t>Carex muehlenbergii var. austrina</t>
  </si>
  <si>
    <t>Carex backii</t>
  </si>
  <si>
    <t>Back's sedge</t>
  </si>
  <si>
    <t>Carex backii var. subrostrata</t>
  </si>
  <si>
    <t>Carex durifolia</t>
  </si>
  <si>
    <t>Carex durifolia var. subrostrata</t>
  </si>
  <si>
    <t>Bebb's sedge</t>
  </si>
  <si>
    <t>Bicknell's sedge</t>
  </si>
  <si>
    <t>Carex bicknellii var. bicknellii</t>
  </si>
  <si>
    <t>Carex brevior var. crawei</t>
  </si>
  <si>
    <t>Carex blanda</t>
  </si>
  <si>
    <t>eastern woodland sedge</t>
  </si>
  <si>
    <t>Carex laxiflora var. blanda</t>
  </si>
  <si>
    <t>shortbeak sedge</t>
  </si>
  <si>
    <t>Carex festucacea var. brevior</t>
  </si>
  <si>
    <t>Carex bushii</t>
  </si>
  <si>
    <t>Bush's sedge</t>
  </si>
  <si>
    <t>Carex caroliniana var. cuspidata</t>
  </si>
  <si>
    <t>Carex buxbaumii</t>
  </si>
  <si>
    <t>Buxbaum's sedge</t>
  </si>
  <si>
    <t>Carex careyana</t>
  </si>
  <si>
    <t>Carey's sedge</t>
  </si>
  <si>
    <t>Carex cephaloidea</t>
  </si>
  <si>
    <t>thinleaf sedge</t>
  </si>
  <si>
    <t>Carex sparganioides var. cephaloidea</t>
  </si>
  <si>
    <t>Carex cephalophora</t>
  </si>
  <si>
    <t>oval-leaf sedge</t>
  </si>
  <si>
    <t>Carex chordorrhiza</t>
  </si>
  <si>
    <t>creeping sedge</t>
  </si>
  <si>
    <t>Carex communis</t>
  </si>
  <si>
    <t>fibrousroot sedge</t>
  </si>
  <si>
    <t>Carex communis var. communis</t>
  </si>
  <si>
    <t>longhair sedge</t>
  </si>
  <si>
    <t>Carex conjuncta</t>
  </si>
  <si>
    <t>soft fox sedge</t>
  </si>
  <si>
    <t>Carex conoidea</t>
  </si>
  <si>
    <t>openfield sedge</t>
  </si>
  <si>
    <t>Carex katahdinensis</t>
  </si>
  <si>
    <t>Carex crawei</t>
  </si>
  <si>
    <t>Crawe's sedge</t>
  </si>
  <si>
    <t>Carex crawfordii</t>
  </si>
  <si>
    <t>Crawford's sedge</t>
  </si>
  <si>
    <t>Carex crawfordii var. vigens</t>
  </si>
  <si>
    <t>fringed sedge</t>
  </si>
  <si>
    <t>Carex crinita var. crinita</t>
  </si>
  <si>
    <t>Carex crinita var. minor</t>
  </si>
  <si>
    <t>Carex crinita var. simulans</t>
  </si>
  <si>
    <t>crested sedge</t>
  </si>
  <si>
    <t>ravenfoot sedge</t>
  </si>
  <si>
    <t>Carex bayardii</t>
  </si>
  <si>
    <t>Carex davisii</t>
  </si>
  <si>
    <t>Davis' sedge</t>
  </si>
  <si>
    <t>Carex deweyana</t>
  </si>
  <si>
    <t>Dewey sedge</t>
  </si>
  <si>
    <t>Carex deweyana var. deweyana</t>
  </si>
  <si>
    <t>Carex diandra</t>
  </si>
  <si>
    <t>lesser panicled sedge</t>
  </si>
  <si>
    <t>Carex douglasii</t>
  </si>
  <si>
    <t>Douglas' sedge</t>
  </si>
  <si>
    <t>Carex duriuscula</t>
  </si>
  <si>
    <t>needleleaf sedge</t>
  </si>
  <si>
    <t>Carex eleocharis</t>
  </si>
  <si>
    <t>Carex stenophylla</t>
  </si>
  <si>
    <t>Carex stenophylla ssp. eleocharis</t>
  </si>
  <si>
    <t>Carex stenophylla var. enervis</t>
  </si>
  <si>
    <t>Carex eburnea</t>
  </si>
  <si>
    <t>bristleleaf sedge</t>
  </si>
  <si>
    <t>Carex echinata</t>
  </si>
  <si>
    <t>star sedge</t>
  </si>
  <si>
    <t>Carex echinata ssp. echinata</t>
  </si>
  <si>
    <t>Carex angustior</t>
  </si>
  <si>
    <t>Carex angustior var. gracilenta</t>
  </si>
  <si>
    <t>Carex cephalantha</t>
  </si>
  <si>
    <t>Carex echinata var. angustata</t>
  </si>
  <si>
    <t>Carex hawaiiensis</t>
  </si>
  <si>
    <t>Carex josselynii</t>
  </si>
  <si>
    <t>Carex laricina</t>
  </si>
  <si>
    <t>Carex leersii</t>
  </si>
  <si>
    <t>Carex muricata var. angustata</t>
  </si>
  <si>
    <t>Carex muricata var. cephalantha</t>
  </si>
  <si>
    <t>Carex muricata var. laricina</t>
  </si>
  <si>
    <t>Carex ormantha</t>
  </si>
  <si>
    <t>Carex phyllomanica var. angustata</t>
  </si>
  <si>
    <t>Carex phyllomanica var. ormantha</t>
  </si>
  <si>
    <t>Carex svensonis</t>
  </si>
  <si>
    <t>Carex emoryi</t>
  </si>
  <si>
    <t>Emory's sedge</t>
  </si>
  <si>
    <t>Carex stricta var. elongata</t>
  </si>
  <si>
    <t>Carex festucacea</t>
  </si>
  <si>
    <t>fescue sedge</t>
  </si>
  <si>
    <t>Carex formosa</t>
  </si>
  <si>
    <t>handsome sedge</t>
  </si>
  <si>
    <t>Frank's sedge</t>
  </si>
  <si>
    <t>Carex gracilescens</t>
  </si>
  <si>
    <t>slender looseflower sedge</t>
  </si>
  <si>
    <t>Carex laxiflora var. gracillima</t>
  </si>
  <si>
    <t>Carex gracillima</t>
  </si>
  <si>
    <t>graceful sedge</t>
  </si>
  <si>
    <t>Carex gracillima var. macerrima</t>
  </si>
  <si>
    <t>Carex granularis</t>
  </si>
  <si>
    <t>limestone meadow sedge</t>
  </si>
  <si>
    <t>Carex granularis var. granularis</t>
  </si>
  <si>
    <t>Carex granularis var. haleana</t>
  </si>
  <si>
    <t>Carex granularis var. recta</t>
  </si>
  <si>
    <t>Carex haleana</t>
  </si>
  <si>
    <t>Carex rectior</t>
  </si>
  <si>
    <t>Carex shriveri</t>
  </si>
  <si>
    <t>Carex gravida</t>
  </si>
  <si>
    <t>heavy sedge</t>
  </si>
  <si>
    <t>Carex gravida var. gravida</t>
  </si>
  <si>
    <t>Carex gravida var. lunelliana</t>
  </si>
  <si>
    <t>Carex lunelliana</t>
  </si>
  <si>
    <t>Gray's sedge</t>
  </si>
  <si>
    <t>Carex asa-grayi</t>
  </si>
  <si>
    <t>Carex grayi var. hispidula</t>
  </si>
  <si>
    <t>inflated narrow-leaf sedge</t>
  </si>
  <si>
    <t>Carex amphibola var. turgida</t>
  </si>
  <si>
    <t>Carex haydenii</t>
  </si>
  <si>
    <t>Hayden's sedge</t>
  </si>
  <si>
    <t>Carex rousseaui</t>
  </si>
  <si>
    <t>Carex stricta var. decora</t>
  </si>
  <si>
    <t>fuzzy wuzzy sedge</t>
  </si>
  <si>
    <t>Carex complanata var. hirsuta</t>
  </si>
  <si>
    <t>Carex triceps</t>
  </si>
  <si>
    <t>Carex hirtifolia</t>
  </si>
  <si>
    <t>pubescent sedge</t>
  </si>
  <si>
    <t>Carex hitchcockiana</t>
  </si>
  <si>
    <t>Hitchcock's sedge</t>
  </si>
  <si>
    <t>Carex hyalinolepis</t>
  </si>
  <si>
    <t>shoreline sedge</t>
  </si>
  <si>
    <t>Carex impressa</t>
  </si>
  <si>
    <t>Carex lacustris var. laxiflora</t>
  </si>
  <si>
    <t>Carex riparia</t>
  </si>
  <si>
    <t>Carex riparia var. impressa</t>
  </si>
  <si>
    <t>bottlebrush sedge</t>
  </si>
  <si>
    <t>Carex inops</t>
  </si>
  <si>
    <t>long-stolon sedge</t>
  </si>
  <si>
    <t>Carex inops ssp. heliophila</t>
  </si>
  <si>
    <t>sun sedge</t>
  </si>
  <si>
    <t>Carex erxlebeniana</t>
  </si>
  <si>
    <t>Carex heliophila</t>
  </si>
  <si>
    <t>Carex pensylvanica ssp. heliophila</t>
  </si>
  <si>
    <t>Carex pensylvanica var. digyna</t>
  </si>
  <si>
    <t>inland sedge</t>
  </si>
  <si>
    <t>Carex interior ssp. charlestonensis</t>
  </si>
  <si>
    <t>Carex interior var. keweenawensis</t>
  </si>
  <si>
    <t>Carex intumescens</t>
  </si>
  <si>
    <t>greater bladder sedge</t>
  </si>
  <si>
    <t>Carex intumescens var. fernaldii</t>
  </si>
  <si>
    <t>Carex jamesii</t>
  </si>
  <si>
    <t>James' sedge</t>
  </si>
  <si>
    <t>Carex steudelii</t>
  </si>
  <si>
    <t>hairy sedge</t>
  </si>
  <si>
    <t>Carex riparia var. lacustris</t>
  </si>
  <si>
    <t>smoothcone sedge</t>
  </si>
  <si>
    <t>Carex laevivaginata</t>
  </si>
  <si>
    <t>smoothsheath sedge</t>
  </si>
  <si>
    <t>Carex stipata var. laevivaginata</t>
  </si>
  <si>
    <t>Carex lasiocarpa</t>
  </si>
  <si>
    <t>woollyfruit sedge</t>
  </si>
  <si>
    <t>Carex lasiocarpa var. americana</t>
  </si>
  <si>
    <t>American woollyfruit sedge</t>
  </si>
  <si>
    <t>Carex lanuginosa var. americana</t>
  </si>
  <si>
    <t>Carex lasiocarpa ssp. americana</t>
  </si>
  <si>
    <t>Carex laxiculmis</t>
  </si>
  <si>
    <t>spreading sedge</t>
  </si>
  <si>
    <t>Carex laxiculmis var. copulata</t>
  </si>
  <si>
    <t>Carex ×copulata</t>
  </si>
  <si>
    <t>Carex laxiculmis var. laxiculmis</t>
  </si>
  <si>
    <t>Carex absconditiformis</t>
  </si>
  <si>
    <t>Carex ×absconditiformis</t>
  </si>
  <si>
    <t>Carex leavenworthii</t>
  </si>
  <si>
    <t>Leavenworth's sedge</t>
  </si>
  <si>
    <t>Carex cephalophora var. angustifolia</t>
  </si>
  <si>
    <t>Carex cephalophora var. leavenworthii</t>
  </si>
  <si>
    <t>Carex leptalea</t>
  </si>
  <si>
    <t>bristlystalked sedge</t>
  </si>
  <si>
    <t>Carex leptalea ssp. leptalea</t>
  </si>
  <si>
    <t>Carex leptalea var. tayloris</t>
  </si>
  <si>
    <t>Carex limosa</t>
  </si>
  <si>
    <t>mud sedge</t>
  </si>
  <si>
    <t>Carex lupuliformis</t>
  </si>
  <si>
    <t>false hop sedge</t>
  </si>
  <si>
    <t>hop sedge</t>
  </si>
  <si>
    <t>Carex lupulina var. pedunculata</t>
  </si>
  <si>
    <t>Carex ×macounii</t>
  </si>
  <si>
    <t>shallow sedge</t>
  </si>
  <si>
    <t>Carex meadii</t>
  </si>
  <si>
    <t>Mead's sedge</t>
  </si>
  <si>
    <t>Carex tetanica var. meadii</t>
  </si>
  <si>
    <t>Carex mesochorea</t>
  </si>
  <si>
    <t>midland sedge</t>
  </si>
  <si>
    <t>Carex cephalophora var. mesochorea</t>
  </si>
  <si>
    <t>Carex missouriensis</t>
  </si>
  <si>
    <t>Missouri sedge</t>
  </si>
  <si>
    <t>troublesome sedge</t>
  </si>
  <si>
    <t>Muhlenberg's sedge</t>
  </si>
  <si>
    <t>Carex muehlenbergii var. enervis</t>
  </si>
  <si>
    <t>Carex plana</t>
  </si>
  <si>
    <t>Carex muehlenbergii var. muehlenbergii</t>
  </si>
  <si>
    <t>Carex muskingumensis</t>
  </si>
  <si>
    <t>Muskingum sedge</t>
  </si>
  <si>
    <t>Carex normalis</t>
  </si>
  <si>
    <t>greater straw sedge</t>
  </si>
  <si>
    <t>Carex norvegica</t>
  </si>
  <si>
    <t>Norway sedge</t>
  </si>
  <si>
    <t>Carex norvegica ssp. inferalpina</t>
  </si>
  <si>
    <t>closedhead sedge</t>
  </si>
  <si>
    <t>Carex angarae</t>
  </si>
  <si>
    <t>Carex media</t>
  </si>
  <si>
    <t>Carex norvegica var. inferalpina</t>
  </si>
  <si>
    <t>Carex vahlii var. inferalpina</t>
  </si>
  <si>
    <t>Carex oligocarpa</t>
  </si>
  <si>
    <t>richwoods sedge</t>
  </si>
  <si>
    <t>Carex peckii</t>
  </si>
  <si>
    <t>Peck's sedge</t>
  </si>
  <si>
    <t>Carex nigromarginata var. elliptica</t>
  </si>
  <si>
    <t>Carex nigromarginata var. minor</t>
  </si>
  <si>
    <t>Carex pedunculata</t>
  </si>
  <si>
    <t>longstalk sedge</t>
  </si>
  <si>
    <t>Carex pellita</t>
  </si>
  <si>
    <t>woolly sedge</t>
  </si>
  <si>
    <t>Carex lanuginosa</t>
  </si>
  <si>
    <t>Carex lasiocarpa var. latifolia</t>
  </si>
  <si>
    <t>Pennsylvania sedge</t>
  </si>
  <si>
    <t>Carex marginata</t>
  </si>
  <si>
    <t>Carex pensylvanica var. glumabunda</t>
  </si>
  <si>
    <t>Carex pensylvanica var. marginata</t>
  </si>
  <si>
    <t>Carex pensylvanica var. vespertina</t>
  </si>
  <si>
    <t>Carex stolonifera</t>
  </si>
  <si>
    <t>Carex plantaginea</t>
  </si>
  <si>
    <t>plantainleaf sedge</t>
  </si>
  <si>
    <t>Carex praegracilis</t>
  </si>
  <si>
    <t>clustered field sedge</t>
  </si>
  <si>
    <t>Carex camporum</t>
  </si>
  <si>
    <t>prairie sedge</t>
  </si>
  <si>
    <t>Carex projecta</t>
  </si>
  <si>
    <t>necklace sedge</t>
  </si>
  <si>
    <t>Carex retroflexa</t>
  </si>
  <si>
    <t>reflexed sedge</t>
  </si>
  <si>
    <t>Carex retrorsa</t>
  </si>
  <si>
    <t>knotsheath sedge</t>
  </si>
  <si>
    <t>Carex richardsonii</t>
  </si>
  <si>
    <t>Richardson's sedge</t>
  </si>
  <si>
    <t>rosy sedge</t>
  </si>
  <si>
    <t>Carex convoluta</t>
  </si>
  <si>
    <t>Carex flaccidula</t>
  </si>
  <si>
    <t>Carex rosea var. pusilla</t>
  </si>
  <si>
    <t>Carex sartwellii</t>
  </si>
  <si>
    <t>Sartwell's sedge</t>
  </si>
  <si>
    <t>Carex sartwellii var. sartwellii</t>
  </si>
  <si>
    <t>Carex saximontana</t>
  </si>
  <si>
    <t>Rocky Mountain sedge</t>
  </si>
  <si>
    <t>Carex backii var. saximontana</t>
  </si>
  <si>
    <t>broom sedge</t>
  </si>
  <si>
    <t>Carex scoparia var. scoparia</t>
  </si>
  <si>
    <t>Carex scoparia var. condensa</t>
  </si>
  <si>
    <t>Carex scoparia var. moniliformis</t>
  </si>
  <si>
    <t>Carex tribuloides var. moniliformis</t>
  </si>
  <si>
    <t>Carex shortiana</t>
  </si>
  <si>
    <t>Short's sedge</t>
  </si>
  <si>
    <t>Carex siccata</t>
  </si>
  <si>
    <t>dryspike sedge</t>
  </si>
  <si>
    <t>Carex aenea</t>
  </si>
  <si>
    <t>Carex foenea</t>
  </si>
  <si>
    <t>Carex foenea var. enervis</t>
  </si>
  <si>
    <t>Carex foenea var. foenea</t>
  </si>
  <si>
    <t>Carex foenea var. tuberculata</t>
  </si>
  <si>
    <t>Carex sparganioides</t>
  </si>
  <si>
    <t>bur-reed sedge</t>
  </si>
  <si>
    <t>Sprengel's sedge</t>
  </si>
  <si>
    <t>squarrose sedge</t>
  </si>
  <si>
    <t>dioecious sedge</t>
  </si>
  <si>
    <t>Carex elachycarpa</t>
  </si>
  <si>
    <t>Carex ×minganinsularum</t>
  </si>
  <si>
    <t>Carex muricata var. sterilis</t>
  </si>
  <si>
    <t>Kobresia elachycarpa</t>
  </si>
  <si>
    <t>awlfruit sedge</t>
  </si>
  <si>
    <t>Carex stipata var. stipata</t>
  </si>
  <si>
    <t>owlfruit sedge</t>
  </si>
  <si>
    <t>upright sedge</t>
  </si>
  <si>
    <t>Carex stricta var. strictior</t>
  </si>
  <si>
    <t>Carex strictior</t>
  </si>
  <si>
    <t>Carex suberecta</t>
  </si>
  <si>
    <t>prairie straw sedge</t>
  </si>
  <si>
    <t>Carex sychnocephala</t>
  </si>
  <si>
    <t>manyhead sedge</t>
  </si>
  <si>
    <t>quill sedge</t>
  </si>
  <si>
    <t>Carex tenera var. echinodes</t>
  </si>
  <si>
    <t>Carex tetanica</t>
  </si>
  <si>
    <t>rigid sedge</t>
  </si>
  <si>
    <t>Carex tonsa</t>
  </si>
  <si>
    <t>shaved sedge</t>
  </si>
  <si>
    <t>Carex tonsa var. tonsa</t>
  </si>
  <si>
    <t>Carex rugosperma var. tonsa</t>
  </si>
  <si>
    <t>Carex umbellata var. tonsa</t>
  </si>
  <si>
    <t>blunt broom sedge</t>
  </si>
  <si>
    <t>Carex tribuloides var. tribuloides</t>
  </si>
  <si>
    <t>Carex trichocarpa</t>
  </si>
  <si>
    <t>hairyfruit sedge</t>
  </si>
  <si>
    <t>Carex tuckermanii</t>
  </si>
  <si>
    <t>Tuckerman's sedge</t>
  </si>
  <si>
    <t>Carex typhina</t>
  </si>
  <si>
    <t>cattail sedge</t>
  </si>
  <si>
    <t>Carex squarrosa var. typhina</t>
  </si>
  <si>
    <t>Carex umbellata</t>
  </si>
  <si>
    <t>parasol sedge</t>
  </si>
  <si>
    <t>Carex abdita</t>
  </si>
  <si>
    <t>Northwest Territory sedge</t>
  </si>
  <si>
    <t>Carex inflata var. utriculata</t>
  </si>
  <si>
    <t>Carex rhynchophysa</t>
  </si>
  <si>
    <t>Carex rostrata var. utriculata</t>
  </si>
  <si>
    <t>blister sedge</t>
  </si>
  <si>
    <t>Carex vesicaria var. monile</t>
  </si>
  <si>
    <t>Carex monile</t>
  </si>
  <si>
    <t>fox sedge</t>
  </si>
  <si>
    <t>Carex vulpinoidea var. vulpinoidea</t>
  </si>
  <si>
    <t>Carex setacea</t>
  </si>
  <si>
    <t>Carex woodii</t>
  </si>
  <si>
    <t>pretty sedge</t>
  </si>
  <si>
    <t>Carex colorata</t>
  </si>
  <si>
    <t>Carex tetanica var. woodii</t>
  </si>
  <si>
    <t>Catabrosa aquatica</t>
  </si>
  <si>
    <t>water whorlgrass</t>
  </si>
  <si>
    <t>Catabrosa aquatica var. aquatica</t>
  </si>
  <si>
    <t>Aira aquatica</t>
  </si>
  <si>
    <t>Catabrosa aquatica var. uniflora</t>
  </si>
  <si>
    <t>Cenchrus longispinus</t>
  </si>
  <si>
    <t>mat sandbur</t>
  </si>
  <si>
    <t>Cenchrus carolinianus</t>
  </si>
  <si>
    <t>Indian woodoats</t>
  </si>
  <si>
    <t>Uniola latifolia</t>
  </si>
  <si>
    <t>Chloris verticillata</t>
  </si>
  <si>
    <t>tumble windmill grass</t>
  </si>
  <si>
    <t>Cinna arundinacea</t>
  </si>
  <si>
    <t>sweet woodreed</t>
  </si>
  <si>
    <t>Cinna arundinacea var. inexpansa</t>
  </si>
  <si>
    <t>Cyperus acuminatus</t>
  </si>
  <si>
    <t>tapertip flatsedge</t>
  </si>
  <si>
    <t>Cyperus bipartitus</t>
  </si>
  <si>
    <t>slender flatsedge</t>
  </si>
  <si>
    <t>Cyperus niger var. rivularis</t>
  </si>
  <si>
    <t>Cyperus rivularis</t>
  </si>
  <si>
    <t>Pycreus rivularis</t>
  </si>
  <si>
    <t>Cyperus diandrus</t>
  </si>
  <si>
    <t>umbrella flatsedge</t>
  </si>
  <si>
    <t>Cyperus erythrorhizos</t>
  </si>
  <si>
    <t>redroot flatsedge</t>
  </si>
  <si>
    <t>Cyperus halei</t>
  </si>
  <si>
    <t>Cyperus esculentus</t>
  </si>
  <si>
    <t>yellow nutsedge</t>
  </si>
  <si>
    <t>Great Plains flatsedge</t>
  </si>
  <si>
    <t>Cyperus lupulinus ssp. lupulinus</t>
  </si>
  <si>
    <t>Cyperus filiculmis</t>
  </si>
  <si>
    <t>Cyperus martindalei</t>
  </si>
  <si>
    <t>Mariscus filiculmis</t>
  </si>
  <si>
    <t>Cyperus lupulinus ssp. macilentus</t>
  </si>
  <si>
    <t>Cyperus bushii</t>
  </si>
  <si>
    <t>Cyperus filiculmis var. macilentus</t>
  </si>
  <si>
    <t>Cyperus odoratus</t>
  </si>
  <si>
    <t>fragrant flatsedge</t>
  </si>
  <si>
    <t>Cyperus acicularis</t>
  </si>
  <si>
    <t>Cyperus eggersii</t>
  </si>
  <si>
    <t>Cyperus engelmannii</t>
  </si>
  <si>
    <t>Cyperus ferax</t>
  </si>
  <si>
    <t>Cyperus ferruginescens</t>
  </si>
  <si>
    <t>Cyperus longispicatus</t>
  </si>
  <si>
    <t>Cyperus macrocephalus</t>
  </si>
  <si>
    <t>Cyperus macrocephalus var. eggersii</t>
  </si>
  <si>
    <t>Cyperus odoratus var. acicularis</t>
  </si>
  <si>
    <t>Cyperus odoratus var. engelmannii</t>
  </si>
  <si>
    <t>Cyperus odoratus var. squarrosus</t>
  </si>
  <si>
    <t>Cyperus speciosus</t>
  </si>
  <si>
    <t>Cyperus speciosus var. squarrosus</t>
  </si>
  <si>
    <t>Mariscus huarmensis</t>
  </si>
  <si>
    <t>Torulinium confertum</t>
  </si>
  <si>
    <t>Torulinium eggersii</t>
  </si>
  <si>
    <t>Torulinium odoratum</t>
  </si>
  <si>
    <t>Schweinitz's flatsedge</t>
  </si>
  <si>
    <t>Cyperus ×mesochoreus</t>
  </si>
  <si>
    <t>Cyperus schweinitzii var. uberior</t>
  </si>
  <si>
    <t>Mariscus schweinitzii</t>
  </si>
  <si>
    <t>Cyperus squarrosus</t>
  </si>
  <si>
    <t>bearded flatsedge</t>
  </si>
  <si>
    <t>Cyperus aristatus</t>
  </si>
  <si>
    <t>Cyperus aristatus var. runyonii</t>
  </si>
  <si>
    <t>Cyperus inflexus</t>
  </si>
  <si>
    <t>Cyperus squarrosus var. runyonii</t>
  </si>
  <si>
    <t>Cyperus strigosus</t>
  </si>
  <si>
    <t>strawcolored flatsedge</t>
  </si>
  <si>
    <t>Cyperus hansenii</t>
  </si>
  <si>
    <t>Cyperus stenolepis</t>
  </si>
  <si>
    <t>Cyperus strigosus var. capitatus</t>
  </si>
  <si>
    <t>Cyperus strigosus var. multiflorus</t>
  </si>
  <si>
    <t>Cyperus strigosus var. robustior</t>
  </si>
  <si>
    <t>Cyperus strigosus var. stenolepis</t>
  </si>
  <si>
    <t>poverty oatgrass</t>
  </si>
  <si>
    <t>Danthonia spicata var. longipila</t>
  </si>
  <si>
    <t>Danthonia spicata var. pinetorum</t>
  </si>
  <si>
    <t>Danthonia thermalis</t>
  </si>
  <si>
    <t>obovate beakgrain</t>
  </si>
  <si>
    <t>Diarrhena americana var. obovata</t>
  </si>
  <si>
    <t>Dichanthelium acuminatum</t>
  </si>
  <si>
    <t>tapered rosette grass</t>
  </si>
  <si>
    <t>Dichanthelium acuminatum var. acuminatum</t>
  </si>
  <si>
    <t>Dichanthelium auburne</t>
  </si>
  <si>
    <t>Panicum acuminatum</t>
  </si>
  <si>
    <t>Panicum acuminatum var. acuminatum</t>
  </si>
  <si>
    <t>Panicum auburne</t>
  </si>
  <si>
    <t>Panicum benneri</t>
  </si>
  <si>
    <t>Panicum chrysopsidifolium</t>
  </si>
  <si>
    <t>Dichanthelium acuminatum var. fasciculatum</t>
  </si>
  <si>
    <t>western panicgrass</t>
  </si>
  <si>
    <t>Dichanthelium acuminatum var. implicatum</t>
  </si>
  <si>
    <t>Dichanthelium lanuginosum</t>
  </si>
  <si>
    <t>Dichanthelium lanuginosum var. fasciculatum</t>
  </si>
  <si>
    <t>Dichanthelium subvillosum</t>
  </si>
  <si>
    <t>Panicum acuminatum var. fasciculatum</t>
  </si>
  <si>
    <t>Panicum acuminatum var. implicatum</t>
  </si>
  <si>
    <t>Panicum brodiei</t>
  </si>
  <si>
    <t>Panicum curtifolium</t>
  </si>
  <si>
    <t>Panicum glutinoscabrum</t>
  </si>
  <si>
    <t>Panicum huachucae</t>
  </si>
  <si>
    <t>Panicum huachucae var. fasciculatum</t>
  </si>
  <si>
    <t>Panicum implicatum</t>
  </si>
  <si>
    <t>Panicum languidum</t>
  </si>
  <si>
    <t>Panicum lanuginosum</t>
  </si>
  <si>
    <t>Panicum lanuginosum var. fasciculatum</t>
  </si>
  <si>
    <t>Panicum lanuginosum var. huachucae</t>
  </si>
  <si>
    <t>Panicum lanuginosum var. implicatum</t>
  </si>
  <si>
    <t>Panicum lanuginosum var. tennesseense</t>
  </si>
  <si>
    <t>Panicum lassenianum</t>
  </si>
  <si>
    <t>Panicum lindheimeri var. fasciculatum</t>
  </si>
  <si>
    <t>Panicum occidentale</t>
  </si>
  <si>
    <t>Panicum pacificum</t>
  </si>
  <si>
    <t>Panicum subvillosum</t>
  </si>
  <si>
    <t>Panicum tennesseense</t>
  </si>
  <si>
    <t>Dichanthelium acuminatum var. lindheimeri</t>
  </si>
  <si>
    <t>Lindheimer panicgrass</t>
  </si>
  <si>
    <t>Dichanthelium lanuginosum var. lindheimeri</t>
  </si>
  <si>
    <t>Dichanthelium lindheimeri</t>
  </si>
  <si>
    <t>Panicum acuminatum var. lindheimeri</t>
  </si>
  <si>
    <t>Panicum lanuginosum var. lindheimeri</t>
  </si>
  <si>
    <t>Panicum lanuginosum var. septentrionale</t>
  </si>
  <si>
    <t>Panicum lindheimeri</t>
  </si>
  <si>
    <t>Dichanthelium boreale</t>
  </si>
  <si>
    <t>northern panicgrass</t>
  </si>
  <si>
    <t>Panicum bicknellii</t>
  </si>
  <si>
    <t>Panicum bicknellii var. bushii</t>
  </si>
  <si>
    <t>Panicum boreale</t>
  </si>
  <si>
    <t>Panicum boreale var. michiganense</t>
  </si>
  <si>
    <t>Panicum bushii</t>
  </si>
  <si>
    <t>Panicum calliphyllum</t>
  </si>
  <si>
    <t>Dichanthelium clandestinum</t>
  </si>
  <si>
    <t>deertongue</t>
  </si>
  <si>
    <t>Panicum clandestinum</t>
  </si>
  <si>
    <t>Dichanthelium consanguineum</t>
  </si>
  <si>
    <t>blood panicgrass</t>
  </si>
  <si>
    <t>Panicum acuminatum var. consanguineum</t>
  </si>
  <si>
    <t>Panicum consanguineum</t>
  </si>
  <si>
    <t>Panicum deamii</t>
  </si>
  <si>
    <t>Panicum georgianum</t>
  </si>
  <si>
    <t>Dichanthelium depauperatum</t>
  </si>
  <si>
    <t>starved panicgrass</t>
  </si>
  <si>
    <t>Panicum depauperatum</t>
  </si>
  <si>
    <t>Panicum depauperatum var. involutum</t>
  </si>
  <si>
    <t>Panicum depauperatum var. psilophyllum</t>
  </si>
  <si>
    <t>Panicum strictum var. psilophyllum</t>
  </si>
  <si>
    <t>Dichanthelium dichotomum</t>
  </si>
  <si>
    <t>cypress panicgrass</t>
  </si>
  <si>
    <t>Dichanthelium dichotomum var. dichotomum</t>
  </si>
  <si>
    <t>Dichanthelium annulum</t>
  </si>
  <si>
    <t>Dichanthelium caerulescens</t>
  </si>
  <si>
    <t>Dichanthelium dichotomum ssp. mattamuskeetense</t>
  </si>
  <si>
    <t>Dichanthelium dichotomum var. barbulatum</t>
  </si>
  <si>
    <t>Dichanthelium dichotomum var. nitidum</t>
  </si>
  <si>
    <t>Dichanthelium dichotomum var. ramylosum</t>
  </si>
  <si>
    <t>Dichanthelium dichotomum var. roanokense</t>
  </si>
  <si>
    <t>Dichanthelium lucidum</t>
  </si>
  <si>
    <t>Dichanthelium mattamuskeetense</t>
  </si>
  <si>
    <t>Dichanthelium microcarpon</t>
  </si>
  <si>
    <t>Dichanthelium nitidum</t>
  </si>
  <si>
    <t>Dichanthelium nudicaule</t>
  </si>
  <si>
    <t>Dichanthelium sphagnicola</t>
  </si>
  <si>
    <t>Dichanthelium yadkinense</t>
  </si>
  <si>
    <t>Panicum annulum</t>
  </si>
  <si>
    <t>Panicum annulum var. glabrescens</t>
  </si>
  <si>
    <t>Panicum barbulatum</t>
  </si>
  <si>
    <t>Panicum caerulescens</t>
  </si>
  <si>
    <t>Panicum clutei</t>
  </si>
  <si>
    <t>Panicum dichotomum</t>
  </si>
  <si>
    <t>Panicum dichotomum var. barbulatum</t>
  </si>
  <si>
    <t>Panicum dichotomum var. clutei</t>
  </si>
  <si>
    <t>Panicum dichotomum var. lucidum</t>
  </si>
  <si>
    <t>Panicum dichotomum var. mattamuskeetense</t>
  </si>
  <si>
    <t>Panicum dichotomum var. ramulosum</t>
  </si>
  <si>
    <t>Panicum dichotomum var. roanokense</t>
  </si>
  <si>
    <t>Panicum dichotomum var. yadkinense</t>
  </si>
  <si>
    <t>Panicum lucidum</t>
  </si>
  <si>
    <t>Panicum lucidum var. opacum</t>
  </si>
  <si>
    <t>Panicum mattamuskeetense</t>
  </si>
  <si>
    <t>Panicum mattamuskeetense var. clutei</t>
  </si>
  <si>
    <t>Panicum microcarpon</t>
  </si>
  <si>
    <t>Panicum nitidum</t>
  </si>
  <si>
    <t>Panicum nudicaule</t>
  </si>
  <si>
    <t>Panicum roanokense</t>
  </si>
  <si>
    <t>Panicum sphagnicola</t>
  </si>
  <si>
    <t>Panicum yadkinense</t>
  </si>
  <si>
    <t>Dichanthelium latifolium</t>
  </si>
  <si>
    <t>broadleaf rosette grass</t>
  </si>
  <si>
    <t>Panicum latifolium</t>
  </si>
  <si>
    <t>Dichanthelium leibergii</t>
  </si>
  <si>
    <t>Leiberg's panicum</t>
  </si>
  <si>
    <t>Panicum leibergii</t>
  </si>
  <si>
    <t>Panicum leibergii var. baldwinii</t>
  </si>
  <si>
    <t>Panicum scoparium var. leibergii</t>
  </si>
  <si>
    <t>Panicum scribnerianum var. leibergii</t>
  </si>
  <si>
    <t>Dichanthelium linearifolium</t>
  </si>
  <si>
    <t>slimleaf panicgrass</t>
  </si>
  <si>
    <t>Dichanthelium depauperatum var. perlorgum</t>
  </si>
  <si>
    <t>Dichanthelium linearifolium var. werneri</t>
  </si>
  <si>
    <t>Dichanthelium perlongum</t>
  </si>
  <si>
    <t>Panicum linearifolium</t>
  </si>
  <si>
    <t>Panicum linearifolium var. werneri</t>
  </si>
  <si>
    <t>Panicum perlongum</t>
  </si>
  <si>
    <t>Panicum strictum var. linearifolium</t>
  </si>
  <si>
    <t>Panicum strictum var. perlongum</t>
  </si>
  <si>
    <t>Panicum werneri</t>
  </si>
  <si>
    <t>Dichanthelium longiligulatum</t>
  </si>
  <si>
    <t>coastal plain panicgrass</t>
  </si>
  <si>
    <t>Dichanthelium acuminatum var. longiligulatum</t>
  </si>
  <si>
    <t>Panicum acuminatum var. longiligulatum</t>
  </si>
  <si>
    <t>Panicum longiligulatum</t>
  </si>
  <si>
    <t>Dichanthelium oligosanthes</t>
  </si>
  <si>
    <t>Heller's rosette grass</t>
  </si>
  <si>
    <t>Dichanthelium oligosanthes var. oligosanthes</t>
  </si>
  <si>
    <t>Panicum oligosanthes</t>
  </si>
  <si>
    <t>Scribner's rosette grass</t>
  </si>
  <si>
    <t>Dichanthelium oligosanthes var. helleri</t>
  </si>
  <si>
    <t>Panicum helleri</t>
  </si>
  <si>
    <t>Panicum macrocarpon</t>
  </si>
  <si>
    <t>Panicum oligosanthes var. helleri</t>
  </si>
  <si>
    <t>Panicum oligosanthes var. scribnerianum</t>
  </si>
  <si>
    <t>Panicum scoparium</t>
  </si>
  <si>
    <t>Panicum scribnerianum</t>
  </si>
  <si>
    <t>Dichanthelium ovale</t>
  </si>
  <si>
    <t>eggleaf rosette grass</t>
  </si>
  <si>
    <t>Dichanthelium ovale var. addisonii</t>
  </si>
  <si>
    <t>Addison's rosette grass</t>
  </si>
  <si>
    <t>Dichanthelium commonsianum</t>
  </si>
  <si>
    <t>Panicum addisonii</t>
  </si>
  <si>
    <t>Panicum alabamense</t>
  </si>
  <si>
    <t>Panicum columbianum var. commonsianum</t>
  </si>
  <si>
    <t>Panicum commonsianum</t>
  </si>
  <si>
    <t>Panicum commonsianum var. addisonii</t>
  </si>
  <si>
    <t>Panicum mundum</t>
  </si>
  <si>
    <t>Panicum ovale var. addisonii</t>
  </si>
  <si>
    <t>Panicum owenae</t>
  </si>
  <si>
    <t>Panicum wilmingtonense</t>
  </si>
  <si>
    <t>Dichanthelium ravenelii</t>
  </si>
  <si>
    <t>Ravenel's rosette grass</t>
  </si>
  <si>
    <t>Panicum ravenelii</t>
  </si>
  <si>
    <t>Dichanthelium sabulorum</t>
  </si>
  <si>
    <t>hemlock rosette grass</t>
  </si>
  <si>
    <t>Dichanthelium sabulorum var. patulum</t>
  </si>
  <si>
    <t>Dichanthelium commonsianum var. euchlamydeum</t>
  </si>
  <si>
    <t>Panicum columbianum var. siccanum</t>
  </si>
  <si>
    <t>Panicum commonsianum var. euchlamydeum</t>
  </si>
  <si>
    <t>Panicum euchlamydeum</t>
  </si>
  <si>
    <t>Panicum lancearium</t>
  </si>
  <si>
    <t>Panicum lancearium var. patulum</t>
  </si>
  <si>
    <t>Panicum lanuginosum var. siccanum</t>
  </si>
  <si>
    <t>Panicum nashianum</t>
  </si>
  <si>
    <t>Panicum nashianum var. patulum</t>
  </si>
  <si>
    <t>Panicum onslowense</t>
  </si>
  <si>
    <t>Panicum patentifolium</t>
  </si>
  <si>
    <t>Panicum patulum</t>
  </si>
  <si>
    <t>Panicum portoricense var. nashianum</t>
  </si>
  <si>
    <t>Panicum sabulorum var. patulum</t>
  </si>
  <si>
    <t>Panicum tsugetorum</t>
  </si>
  <si>
    <t>Panicum webberianum</t>
  </si>
  <si>
    <t>Dichanthelium sabulorum var. thinium</t>
  </si>
  <si>
    <t>Dichanthelium columbianum</t>
  </si>
  <si>
    <t>Dichanthelium portoricense</t>
  </si>
  <si>
    <t>Panicum acuminatum var. columbianum</t>
  </si>
  <si>
    <t>Panicum columbianum</t>
  </si>
  <si>
    <t>Panicum columbianum var. oricola</t>
  </si>
  <si>
    <t>Panicum columbianum var. thinium</t>
  </si>
  <si>
    <t>Panicum heterophyllum</t>
  </si>
  <si>
    <t>Panicum heterophyllum var. thinium</t>
  </si>
  <si>
    <t>Panicum oricola</t>
  </si>
  <si>
    <t>Panicum portoricense</t>
  </si>
  <si>
    <t>Panicum sabulorum var. thinium</t>
  </si>
  <si>
    <t>Panicum unciphyllum var. thinium</t>
  </si>
  <si>
    <t>Dichanthelium ×scoparioides</t>
  </si>
  <si>
    <t>Shasta panicgrass</t>
  </si>
  <si>
    <t>Panicum scoparioides</t>
  </si>
  <si>
    <t>Panicum shastense</t>
  </si>
  <si>
    <t>Panicum villosissimum var. scoparioides</t>
  </si>
  <si>
    <t>Dichanthelium villosissimum</t>
  </si>
  <si>
    <t>whitehair rosette grass</t>
  </si>
  <si>
    <t>Dichanthelium villosissimum var. praecocius</t>
  </si>
  <si>
    <t>Dichanthelium praecocius</t>
  </si>
  <si>
    <t>Panicum lanuginosum var. praecocius</t>
  </si>
  <si>
    <t>Panicum praecocius</t>
  </si>
  <si>
    <t>Dichanthelium villosissimum var. villosissimum</t>
  </si>
  <si>
    <t>Dichanthelium acuminatum var. villosum</t>
  </si>
  <si>
    <t>Dichanthelium lanuginosum var. villosissimum</t>
  </si>
  <si>
    <t>Dichanthelium ovale ssp. pseudopubescens</t>
  </si>
  <si>
    <t>Dichanthelium villosissimum var. pseudopubescens</t>
  </si>
  <si>
    <t>Panicum acuminatum var. villosissimum</t>
  </si>
  <si>
    <t>Panicum acuminatum var. villosum</t>
  </si>
  <si>
    <t>Panicum nitidum var. villosum</t>
  </si>
  <si>
    <t>Panicum ovale var. pseudopubescens</t>
  </si>
  <si>
    <t>Panicum ovale var. villosum</t>
  </si>
  <si>
    <t>Panicum pseudopubescens</t>
  </si>
  <si>
    <t>Panicum villosissimum</t>
  </si>
  <si>
    <t>Panicum villosissimum var. pseudopubescens</t>
  </si>
  <si>
    <t>Dichanthelium wilcoxianum</t>
  </si>
  <si>
    <t>fall rosette grass</t>
  </si>
  <si>
    <t>Dichanthelium oligosanthes var. wilcoxianum</t>
  </si>
  <si>
    <t>Panicum wilcoxianum</t>
  </si>
  <si>
    <t>Panicum wilcoxianum var. breitungii</t>
  </si>
  <si>
    <t>Dichanthelium xanthophysum</t>
  </si>
  <si>
    <t>slender rosette grass</t>
  </si>
  <si>
    <t>Panicum xanthophysum</t>
  </si>
  <si>
    <t>Digitaria bicornis</t>
  </si>
  <si>
    <t>Asian crabgrass</t>
  </si>
  <si>
    <t>Digitaria diversiflora</t>
  </si>
  <si>
    <t>Paspalum bicorne</t>
  </si>
  <si>
    <t>Digitaria ciliaris</t>
  </si>
  <si>
    <t>southern crabgrass</t>
  </si>
  <si>
    <t>Digitaria adscendens</t>
  </si>
  <si>
    <t>Digitaria sanguinalis var. ciliaris</t>
  </si>
  <si>
    <t>Digitaria sanguinalis var. marginata</t>
  </si>
  <si>
    <t>Digitaria sanguinalis var. rhachiseta</t>
  </si>
  <si>
    <t>Panicum adscendens</t>
  </si>
  <si>
    <t>Panicum ciliare</t>
  </si>
  <si>
    <t>Syntherisma marginata</t>
  </si>
  <si>
    <t>Digitaria cognata</t>
  </si>
  <si>
    <t>fall witchgrass</t>
  </si>
  <si>
    <t>Digitaria cognata var. cognata</t>
  </si>
  <si>
    <t>Leptoloma cognatum</t>
  </si>
  <si>
    <t>Digitaria filiformis</t>
  </si>
  <si>
    <t>slender crabgrass</t>
  </si>
  <si>
    <t>Digitaria laeviglumis</t>
  </si>
  <si>
    <t>Digitaria leucocoma</t>
  </si>
  <si>
    <t>Panicum filiforme</t>
  </si>
  <si>
    <t>Syntherisma filiformis</t>
  </si>
  <si>
    <t>Digitaria sanguinalis</t>
  </si>
  <si>
    <t>hairy crabgrass</t>
  </si>
  <si>
    <t>Panicum sanguinale</t>
  </si>
  <si>
    <t>Syntherisma sanguinalis</t>
  </si>
  <si>
    <t>Distichlis spicata</t>
  </si>
  <si>
    <t>saltgrass</t>
  </si>
  <si>
    <t>Distichlis spicata ssp. stricta</t>
  </si>
  <si>
    <t>Distichlis spicata var. borealis</t>
  </si>
  <si>
    <t>Distichlis spicata var. divaricata</t>
  </si>
  <si>
    <t>Distichlis spicata var. nana</t>
  </si>
  <si>
    <t>Distichlis spicata var. stolonifera</t>
  </si>
  <si>
    <t>Distichlis spicata var. stricta</t>
  </si>
  <si>
    <t>Distichlis stricta</t>
  </si>
  <si>
    <t>Distichlis stricta var. dentata</t>
  </si>
  <si>
    <t>Uniola spicata</t>
  </si>
  <si>
    <t>Dulichium arundinaceum</t>
  </si>
  <si>
    <t>threeway sedge</t>
  </si>
  <si>
    <t>Dulichium arundinaceum var. arundinaceum</t>
  </si>
  <si>
    <t>three-way sedge</t>
  </si>
  <si>
    <t>Echinochloa muricata</t>
  </si>
  <si>
    <t>rough barnyardgrass</t>
  </si>
  <si>
    <t>Echinochloa muricata var. microstachya</t>
  </si>
  <si>
    <t>Echinochloa crus-galli var. mitis</t>
  </si>
  <si>
    <t>Echinochloa microstachya</t>
  </si>
  <si>
    <t>Echinochloa muricata ssp. microstachya</t>
  </si>
  <si>
    <t>Echinochloa muricata var. occidentalis</t>
  </si>
  <si>
    <t>Echinochloa muricata var. wiegandii</t>
  </si>
  <si>
    <t>Echinochloa occidentalis</t>
  </si>
  <si>
    <t>Echinochloa pungens var. microstachya</t>
  </si>
  <si>
    <t>Echinochloa pungens var. multiflora</t>
  </si>
  <si>
    <t>Echinochloa wiegandii</t>
  </si>
  <si>
    <t>Echinochloa muricata var. muricata</t>
  </si>
  <si>
    <t>Echinochloa muricata var. ludoviciana</t>
  </si>
  <si>
    <t>Echinochloa pungens</t>
  </si>
  <si>
    <t>Echinochloa pungens var. coarctata</t>
  </si>
  <si>
    <t>Echinochloa pungens var. ludoviciana</t>
  </si>
  <si>
    <t>Echinochloa walteri</t>
  </si>
  <si>
    <t>coast cockspur grass</t>
  </si>
  <si>
    <t>Echinochloa walteri var. laevigata</t>
  </si>
  <si>
    <t>Panicum walteri</t>
  </si>
  <si>
    <t>needle spikerush</t>
  </si>
  <si>
    <t>Eleocharis acicularis var. acicularis</t>
  </si>
  <si>
    <t>Eleocharis acicularis var. gracilescens</t>
  </si>
  <si>
    <t>Eleocharis acicularis var. occidentalis</t>
  </si>
  <si>
    <t>Eleocharis acicularis var. submersa</t>
  </si>
  <si>
    <t>Eleocharis acicularis var. typica</t>
  </si>
  <si>
    <t>Eleocharis atropurpurea</t>
  </si>
  <si>
    <t>purple spikerush</t>
  </si>
  <si>
    <t>Eleocharis multiflora</t>
  </si>
  <si>
    <t>Scirpus atropurpureus</t>
  </si>
  <si>
    <t>Eleocharis compressa</t>
  </si>
  <si>
    <t>flatstem spikerush</t>
  </si>
  <si>
    <t>Eleocharis compressa var. compressa</t>
  </si>
  <si>
    <t>Eleocharis acuminata</t>
  </si>
  <si>
    <t>Eleocharis compressa var. atrata</t>
  </si>
  <si>
    <t>Eleocharis elliptica var. atrata</t>
  </si>
  <si>
    <t>Eleocharis elliptica var. compressa</t>
  </si>
  <si>
    <t>Eleocharis tenuis var. atrata</t>
  </si>
  <si>
    <t>Eleocharis elliptica</t>
  </si>
  <si>
    <t>elliptic spikerush</t>
  </si>
  <si>
    <t>Eleocharis capitata var. borealis</t>
  </si>
  <si>
    <t>Eleocharis compressa var. borealis</t>
  </si>
  <si>
    <t>Eleocharis tenuis var. borealis</t>
  </si>
  <si>
    <t>Eleocharis engelmannii</t>
  </si>
  <si>
    <t>Engelmann's spikerush</t>
  </si>
  <si>
    <t>Eleocharis engelmannii var. monticola</t>
  </si>
  <si>
    <t>Eleocharis engelmannii var. robusta</t>
  </si>
  <si>
    <t>Eleocharis monticola</t>
  </si>
  <si>
    <t>Eleocharis monticola var. pallida</t>
  </si>
  <si>
    <t>Eleocharis obtusa var. detonsa</t>
  </si>
  <si>
    <t>Eleocharis obtusa var. engelmannii</t>
  </si>
  <si>
    <t>Eleocharis ovata var. detonsa</t>
  </si>
  <si>
    <t>Eleocharis ovata var. engelmannii</t>
  </si>
  <si>
    <t>Eleocharis erythropoda</t>
  </si>
  <si>
    <t>bald spikerush</t>
  </si>
  <si>
    <t>Eleocharis calva</t>
  </si>
  <si>
    <t>Scirpus glaucus</t>
  </si>
  <si>
    <t>Trichophorum palustre var. calvum</t>
  </si>
  <si>
    <t>Eleocharis intermedia</t>
  </si>
  <si>
    <t>matted spikerush</t>
  </si>
  <si>
    <t>Eleocharis macrostachya</t>
  </si>
  <si>
    <t>pale spikerush</t>
  </si>
  <si>
    <t>Eleocharis perlonga</t>
  </si>
  <si>
    <t>Eleocharis xyridiformis</t>
  </si>
  <si>
    <t>Eleocharis obtusa</t>
  </si>
  <si>
    <t>blunt spikerush</t>
  </si>
  <si>
    <t>Eleocharis obtusa var. ellipsoidalis</t>
  </si>
  <si>
    <t>Eleocharis obtusa var. gigantea</t>
  </si>
  <si>
    <t>Eleocharis obtusa var. jejuna</t>
  </si>
  <si>
    <t>Eleocharis obtusa var. obtusa</t>
  </si>
  <si>
    <t>Eleocharis obtusa var. peasei</t>
  </si>
  <si>
    <t>Eleocharis ovata var. obtusa</t>
  </si>
  <si>
    <t>Scirpus obtusus</t>
  </si>
  <si>
    <t>Eleocharis olivacea</t>
  </si>
  <si>
    <t>bright green spikerush</t>
  </si>
  <si>
    <t>Eleocharis olivacea var. olivacea</t>
  </si>
  <si>
    <t>Eleocharis flaccida var. olivacea</t>
  </si>
  <si>
    <t>Eleocharis flavescens var. olivacea</t>
  </si>
  <si>
    <t>Eleocharis ovata</t>
  </si>
  <si>
    <t>ovate spikerush</t>
  </si>
  <si>
    <t>Eleocharis annua</t>
  </si>
  <si>
    <t>Eleocharis obtusa var. heuseri</t>
  </si>
  <si>
    <t>Eleocharis obtusa var. ovata</t>
  </si>
  <si>
    <t>Scirpus ovatus</t>
  </si>
  <si>
    <t>common spikerush</t>
  </si>
  <si>
    <t>Eleocharis palustris var. palustris</t>
  </si>
  <si>
    <t>Eleocharis calva var. australis</t>
  </si>
  <si>
    <t>Eleocharis mamillata</t>
  </si>
  <si>
    <t>Eleocharis palustris var. australis</t>
  </si>
  <si>
    <t>Eleocharis palustris var. major</t>
  </si>
  <si>
    <t>Eleocharis smallii</t>
  </si>
  <si>
    <t>Eleocharis smallii var. major</t>
  </si>
  <si>
    <t>Scirpus palustris</t>
  </si>
  <si>
    <t>Eleocharis parvula</t>
  </si>
  <si>
    <t>dwarf spikerush</t>
  </si>
  <si>
    <t>Chaetocyperus membranacea</t>
  </si>
  <si>
    <t>Eleocharis coloradoensis</t>
  </si>
  <si>
    <t>Eleocharis leptos</t>
  </si>
  <si>
    <t>Eleocharis leptos var. coloradoensis</t>
  </si>
  <si>
    <t>Eleocharis leptos var. johnstonii</t>
  </si>
  <si>
    <t>Eleocharis membranacea</t>
  </si>
  <si>
    <t>Eleocharis parvula var. anachaeta</t>
  </si>
  <si>
    <t>Eleocharis parvula var. coloradoensis</t>
  </si>
  <si>
    <t>Scirpus nanus</t>
  </si>
  <si>
    <t>Scirpus nanus var. anachaetus</t>
  </si>
  <si>
    <t>Eleocharis quinqueflora</t>
  </si>
  <si>
    <t>fewflower spikerush</t>
  </si>
  <si>
    <t>Eleocharis bernardina</t>
  </si>
  <si>
    <t>Eleocharis pauciflora</t>
  </si>
  <si>
    <t>Eleocharis pauciflora var. bernardina</t>
  </si>
  <si>
    <t>Eleocharis pauciflora var. fernaldii</t>
  </si>
  <si>
    <t>Eleocharis quinqueflora ssp. fernaldii</t>
  </si>
  <si>
    <t>Eleocharis quinqueflora var. bernardina</t>
  </si>
  <si>
    <t>Scirpus pauciflorus</t>
  </si>
  <si>
    <t>Scirpus quinqueflorus</t>
  </si>
  <si>
    <t>Eleocharis tenuis</t>
  </si>
  <si>
    <t>slender spikerush</t>
  </si>
  <si>
    <t>Eleocharis tenuis var. verrucosa</t>
  </si>
  <si>
    <t>Eleocharis capitata var. verrucosa</t>
  </si>
  <si>
    <t>Eleocharis verrucosa</t>
  </si>
  <si>
    <t>Eleocharis wolfii</t>
  </si>
  <si>
    <t>Wolf's spikerush</t>
  </si>
  <si>
    <t>Scirpus wolfii</t>
  </si>
  <si>
    <t>×Elyhordeum iowense</t>
  </si>
  <si>
    <t>Iowa barley</t>
  </si>
  <si>
    <t>×Elymordeum montanense var. pubescens</t>
  </si>
  <si>
    <t>×Elytesion iowense</t>
  </si>
  <si>
    <t>×Elyhordeum macounii</t>
  </si>
  <si>
    <t>Macoun's barley</t>
  </si>
  <si>
    <t>×Agrohordeum macounii</t>
  </si>
  <si>
    <t>×Agrohordeum macounii var. valencianum</t>
  </si>
  <si>
    <t>Elymus macounii</t>
  </si>
  <si>
    <t>×Elytesion macounii</t>
  </si>
  <si>
    <t>×Elyhordeum montanense</t>
  </si>
  <si>
    <t>mountain barley</t>
  </si>
  <si>
    <t>×Elymordeum montanense</t>
  </si>
  <si>
    <t>×Elytesion montanense</t>
  </si>
  <si>
    <t>Hordeum montanense</t>
  </si>
  <si>
    <t>Hordeum pammelii</t>
  </si>
  <si>
    <t>Canada wildrye</t>
  </si>
  <si>
    <t>Elymus brachystachys</t>
  </si>
  <si>
    <t>Elymus canadensis var. brachystachys</t>
  </si>
  <si>
    <t>Elymus canadensis var. hirsutus</t>
  </si>
  <si>
    <t>Elymus canadensis var. robustus</t>
  </si>
  <si>
    <t>Elymus crescendus</t>
  </si>
  <si>
    <t>Elymus philadelphicus</t>
  </si>
  <si>
    <t>Elymus philadelphicus var. hirsutus</t>
  </si>
  <si>
    <t>Elymus robustus</t>
  </si>
  <si>
    <t>Elymus diversiglumis</t>
  </si>
  <si>
    <t>diverseglume wildrye</t>
  </si>
  <si>
    <t>Elymus interruptus</t>
  </si>
  <si>
    <t>eastern bottlebrush grass</t>
  </si>
  <si>
    <t>Elymus hystrix var. bigeloviana</t>
  </si>
  <si>
    <t>Hystrix patula var. bigeloviana</t>
  </si>
  <si>
    <t>Elymus hystrix var. hystrix</t>
  </si>
  <si>
    <t>Hystrix hystrix</t>
  </si>
  <si>
    <t>Hystrix patula</t>
  </si>
  <si>
    <t>Elymus ×maltei</t>
  </si>
  <si>
    <t>Elymus arenarius var. simulans</t>
  </si>
  <si>
    <t>Elymus ×maltei var. brownii</t>
  </si>
  <si>
    <t>Elymus ×maltei var. churchii</t>
  </si>
  <si>
    <t>Elymus ×maltei var. simulans</t>
  </si>
  <si>
    <t>Terrelymus maltei</t>
  </si>
  <si>
    <t>riverbank wildrye</t>
  </si>
  <si>
    <t>Elymus canadensis var. riparius</t>
  </si>
  <si>
    <t>Elymus submuticus</t>
  </si>
  <si>
    <t>Virginia wildrye</t>
  </si>
  <si>
    <t>Elymus curvatus</t>
  </si>
  <si>
    <t>Elymus virginicus var. jenkinsii</t>
  </si>
  <si>
    <t>Elymus virginicus var. submuticus</t>
  </si>
  <si>
    <t>slender wheatgrass</t>
  </si>
  <si>
    <t>Elymus trachycaulus ssp. subsecundus</t>
  </si>
  <si>
    <t>Agropyron caninum var. unilaterale</t>
  </si>
  <si>
    <t>Agropyron laeve</t>
  </si>
  <si>
    <t>Agropyron parishii var. laeve</t>
  </si>
  <si>
    <t>Agropyron pauciflorum ssp. laeve</t>
  </si>
  <si>
    <t>Agropyron pauciflorum var. glaucum</t>
  </si>
  <si>
    <t>Agropyron subsecundum</t>
  </si>
  <si>
    <t>Agropyron trachycaulum var. ciliatum</t>
  </si>
  <si>
    <t>Agropyron trachycaulum var. glaucum</t>
  </si>
  <si>
    <t>Agropyron trachycaulum var. unilaterale</t>
  </si>
  <si>
    <t>Elymus laevis</t>
  </si>
  <si>
    <t>Elymus trachycaulus ssp. glaucus</t>
  </si>
  <si>
    <t>Elymus trachycaulus var. unilateralis</t>
  </si>
  <si>
    <t>Elymus trachycaulus ssp. trachycaulus</t>
  </si>
  <si>
    <t>Agropyron brevifolium</t>
  </si>
  <si>
    <t>Agropyron caninum ssp. majus</t>
  </si>
  <si>
    <t>Agropyron caninum var. andinum</t>
  </si>
  <si>
    <t>Agropyron caninum var. hornemannii</t>
  </si>
  <si>
    <t>Agropyron caninum var. mitchellii</t>
  </si>
  <si>
    <t>Agropyron pauciflorum</t>
  </si>
  <si>
    <t>Agropyron pauciflorum ssp. majus</t>
  </si>
  <si>
    <t>Agropyron pauciflorum ssp. novae-angliae</t>
  </si>
  <si>
    <t>Agropyron pauciflorum ssp. teslinense</t>
  </si>
  <si>
    <t>Agropyron pauciflorum var. novae-angliae</t>
  </si>
  <si>
    <t>Agropyron subsecundum var. andinum</t>
  </si>
  <si>
    <t>Agropyron tenerum</t>
  </si>
  <si>
    <t>Agropyron teslinense</t>
  </si>
  <si>
    <t>Agropyron trachycaulum</t>
  </si>
  <si>
    <t>Agropyron trachycaulum var. majus</t>
  </si>
  <si>
    <t>Agropyron trachycaulum var. novae-angliae</t>
  </si>
  <si>
    <t>Agropyron violaceum ssp. andinum</t>
  </si>
  <si>
    <t>Agropyron violaceum var. andinum</t>
  </si>
  <si>
    <t>Elymus donianus ssp. virescens</t>
  </si>
  <si>
    <t>Elymus pauciflorus</t>
  </si>
  <si>
    <t>Elymus trachycaulus ssp. andinus</t>
  </si>
  <si>
    <t>Elymus trachycaulus ssp. novae-angliae</t>
  </si>
  <si>
    <t>Elymus trachycaulus ssp. teslinensis</t>
  </si>
  <si>
    <t>Elymus trachycaulus var. andinus</t>
  </si>
  <si>
    <t>Elymus trachycaulus var. majus</t>
  </si>
  <si>
    <t>Roegneria pauciflora</t>
  </si>
  <si>
    <t>Roegneria trachycaula</t>
  </si>
  <si>
    <t>Triticum trachycaulum</t>
  </si>
  <si>
    <t>hairy wildrye</t>
  </si>
  <si>
    <t>Elymus arkansanus</t>
  </si>
  <si>
    <t>Elymus canadensis var. villosus</t>
  </si>
  <si>
    <t>Elymus villosus var. arkansanus</t>
  </si>
  <si>
    <t>Terrellia villosa</t>
  </si>
  <si>
    <t>Elymus virginicus var. virginicus</t>
  </si>
  <si>
    <t>Elymus australis</t>
  </si>
  <si>
    <t>Elymus glabriflorus</t>
  </si>
  <si>
    <t>Elymus glabriflorus var. australis</t>
  </si>
  <si>
    <t>Elymus hirsutiglumis</t>
  </si>
  <si>
    <t>Elymus jejunus</t>
  </si>
  <si>
    <t>Elymus striatus</t>
  </si>
  <si>
    <t>Elymus virginicus var. australis</t>
  </si>
  <si>
    <t>Elymus virginicus var. glabriflorus</t>
  </si>
  <si>
    <t>Elymus virginicus var. hirsutiglumis</t>
  </si>
  <si>
    <t>Elymus virginicus var. intermedius</t>
  </si>
  <si>
    <t>Elymus virginicus var. jejunus</t>
  </si>
  <si>
    <t>Elymus wiegandii</t>
  </si>
  <si>
    <t>Wiegand's wildrye</t>
  </si>
  <si>
    <t>Elymus canadensis ssp. wiegandii</t>
  </si>
  <si>
    <t>Elymus canadensis var. wiegandii</t>
  </si>
  <si>
    <t>Eragrostis capillaris</t>
  </si>
  <si>
    <t>lace grass</t>
  </si>
  <si>
    <t>Eragrostis frankii</t>
  </si>
  <si>
    <t>sandbar lovegrass</t>
  </si>
  <si>
    <t>Eragrostis frankii var. brevipes</t>
  </si>
  <si>
    <t>Eragrostis hypnoides</t>
  </si>
  <si>
    <t>teal lovegrass</t>
  </si>
  <si>
    <t>Poa hypnoides</t>
  </si>
  <si>
    <t>Eragrostis mexicana</t>
  </si>
  <si>
    <t>Mexican lovegrass</t>
  </si>
  <si>
    <t>Eragrostis mexicana ssp. mexicana</t>
  </si>
  <si>
    <t>Eragrostis neomexicana</t>
  </si>
  <si>
    <t>Poa mexicana</t>
  </si>
  <si>
    <t>Eragrostis pectinacea</t>
  </si>
  <si>
    <t>tufted lovegrass</t>
  </si>
  <si>
    <t>Eragrostis pectinacea var. pectinacea</t>
  </si>
  <si>
    <t>Eragrostis caroliniana</t>
  </si>
  <si>
    <t>Eragrostis diffusa</t>
  </si>
  <si>
    <t>Eragrostis purshii</t>
  </si>
  <si>
    <t>Poa pectinacea</t>
  </si>
  <si>
    <t>Eragrostis pilosa</t>
  </si>
  <si>
    <t>Indian lovegrass</t>
  </si>
  <si>
    <t>Eragrostis multicaulis</t>
  </si>
  <si>
    <t>Eragrostis perplexa</t>
  </si>
  <si>
    <t>Eragrostis pilosa var. perplexa</t>
  </si>
  <si>
    <t>Eragrostis pilosa var. pilosa</t>
  </si>
  <si>
    <t>Poa pilosa</t>
  </si>
  <si>
    <t>purple lovegrass</t>
  </si>
  <si>
    <t>Eragrostis spectabilis var. sparsihirsuta</t>
  </si>
  <si>
    <t>Poa spectabilis</t>
  </si>
  <si>
    <t>sand lovegrass</t>
  </si>
  <si>
    <t>Eragrostis pilifera</t>
  </si>
  <si>
    <t>Eragrostis trichodes var. pilifera</t>
  </si>
  <si>
    <t>Poa trichodes</t>
  </si>
  <si>
    <t>Eriophorum angustifolium</t>
  </si>
  <si>
    <t>tall cottongrass</t>
  </si>
  <si>
    <t>Eriophorum angustifolium ssp. angustifolium</t>
  </si>
  <si>
    <t>Eriophorum angustifolium ssp. scabriusculum</t>
  </si>
  <si>
    <t>Eriophorum angustifolium ssp. subarcticum</t>
  </si>
  <si>
    <t>Eriophorum angustifolium var. coloratum</t>
  </si>
  <si>
    <t>Eriophorum angustifolium var. giganteum</t>
  </si>
  <si>
    <t>Eriophorum angustifolium var. majus</t>
  </si>
  <si>
    <t>Eriophorum polystachion</t>
  </si>
  <si>
    <t>Eriophorum gracile</t>
  </si>
  <si>
    <t>slender cottongrass</t>
  </si>
  <si>
    <t>Eriophorum gracile var. gracile</t>
  </si>
  <si>
    <t>Eriophorum virginicum</t>
  </si>
  <si>
    <t>tawny cottongrass</t>
  </si>
  <si>
    <t>Eriophorum viridicarinatum</t>
  </si>
  <si>
    <t>thinleaf cottonsedge</t>
  </si>
  <si>
    <t>Festuca paradoxa</t>
  </si>
  <si>
    <t>clustered fescue</t>
  </si>
  <si>
    <t>Festuca nutans</t>
  </si>
  <si>
    <t>Festuca shortii</t>
  </si>
  <si>
    <t>Festuca rubra</t>
  </si>
  <si>
    <t>red fescue</t>
  </si>
  <si>
    <t>Festuca rubra ssp. rubra</t>
  </si>
  <si>
    <t>Festuca prolifera</t>
  </si>
  <si>
    <t>Festuca prolifera var. lasiolepis</t>
  </si>
  <si>
    <t>Festuca rubra ssp. arctica</t>
  </si>
  <si>
    <t>Festuca rubra ssp. juncea</t>
  </si>
  <si>
    <t>Festuca rubra ssp. vulgaris</t>
  </si>
  <si>
    <t>Festuca rubra var. juncea</t>
  </si>
  <si>
    <t>Festuca rubra var. prolifera</t>
  </si>
  <si>
    <t>Festuca saximontana</t>
  </si>
  <si>
    <t>Rocky Mountain fescue</t>
  </si>
  <si>
    <t>Festuca saximontana var. saximontana</t>
  </si>
  <si>
    <t>Festuca brachyphylla var. rydbergii</t>
  </si>
  <si>
    <t>Festuca ovina var. rydbergii</t>
  </si>
  <si>
    <t>Festuca ovina var. saximontana</t>
  </si>
  <si>
    <t>Festuca saximontana var. robertsiana</t>
  </si>
  <si>
    <t>nodding fescue</t>
  </si>
  <si>
    <t>Festuca obtusa</t>
  </si>
  <si>
    <t>Fimbristylis autumnalis</t>
  </si>
  <si>
    <t>slender fimbry</t>
  </si>
  <si>
    <t>Fimbristylis autumnalis var. mucronulata</t>
  </si>
  <si>
    <t>Fimbristylis geminata</t>
  </si>
  <si>
    <t>Scirpus autumnalis</t>
  </si>
  <si>
    <t>Fuirena simplex</t>
  </si>
  <si>
    <t>western umbrella-sedge</t>
  </si>
  <si>
    <t>Fuirena simplex var. aristulata</t>
  </si>
  <si>
    <t>Fuirena squarrosa var. aristulata</t>
  </si>
  <si>
    <t>Glyceria borealis</t>
  </si>
  <si>
    <t>small floating mannagrass</t>
  </si>
  <si>
    <t>Panicularia borealis</t>
  </si>
  <si>
    <t>American mannagrass</t>
  </si>
  <si>
    <t>Glyceria grandis var. grandis</t>
  </si>
  <si>
    <t>Glyceria maxima ssp. grandis</t>
  </si>
  <si>
    <t>Glyceria maxima var. americana</t>
  </si>
  <si>
    <t>Panicularia grandis</t>
  </si>
  <si>
    <t>Glyceria septentrionalis</t>
  </si>
  <si>
    <t>floating mannagrass</t>
  </si>
  <si>
    <t>Panicularia septentrionalis</t>
  </si>
  <si>
    <t>fowl mannagrass</t>
  </si>
  <si>
    <t>Glyceria elata</t>
  </si>
  <si>
    <t>Glyceria nervata</t>
  </si>
  <si>
    <t>Glyceria striata ssp. stricta</t>
  </si>
  <si>
    <t>Glyceria striata var. stricta</t>
  </si>
  <si>
    <t>Panicularia nervata</t>
  </si>
  <si>
    <t>Panicularia striata</t>
  </si>
  <si>
    <t>Hesperostipa comata</t>
  </si>
  <si>
    <t>needle and thread</t>
  </si>
  <si>
    <t>Hesperostipa comata ssp. comata</t>
  </si>
  <si>
    <t>Hesperostipa comata var. comata</t>
  </si>
  <si>
    <t>Stipa comata</t>
  </si>
  <si>
    <t>Stipa comata ssp. intonsa</t>
  </si>
  <si>
    <t>porcupinegrass</t>
  </si>
  <si>
    <t>Stipa spartea</t>
  </si>
  <si>
    <t>northern sweetgrass</t>
  </si>
  <si>
    <t>Hierochloe hirta ssp. arctica</t>
  </si>
  <si>
    <t>Anthoxanthum hirtum ssp. arcticum</t>
  </si>
  <si>
    <t>Hierochloe odorata ssp. arctica</t>
  </si>
  <si>
    <t>foxtail barley</t>
  </si>
  <si>
    <t>Hordeum jubatum ssp. jubatum</t>
  </si>
  <si>
    <t>Critesion jubatum</t>
  </si>
  <si>
    <t>Hordeum pusillum</t>
  </si>
  <si>
    <t>little barley</t>
  </si>
  <si>
    <t>Critesion pusillum</t>
  </si>
  <si>
    <t>Hordeum pusillum var. pubens</t>
  </si>
  <si>
    <t>Isoetes melanopoda</t>
  </si>
  <si>
    <t>blackfoot quillwort</t>
  </si>
  <si>
    <t>Juncus acuminatus</t>
  </si>
  <si>
    <t>tapertip rush</t>
  </si>
  <si>
    <t>Juncus alpinoarticulatus</t>
  </si>
  <si>
    <t>northern green rush</t>
  </si>
  <si>
    <t>Juncus alpinoarticulatus ssp. nodulosus</t>
  </si>
  <si>
    <t>Juncus alpinoarticulatus ssp. americanus</t>
  </si>
  <si>
    <t>Juncus alpinoarticulatus ssp. fuscescens</t>
  </si>
  <si>
    <t>Juncus alpinus</t>
  </si>
  <si>
    <t>Juncus alpinus ssp. nodulosus</t>
  </si>
  <si>
    <t>Juncus alpinus var. fuscescens</t>
  </si>
  <si>
    <t>Juncus alpinus var. rariflorus</t>
  </si>
  <si>
    <t>Juncus alpinus var. uniceps</t>
  </si>
  <si>
    <t>Juncus richardsonianus</t>
  </si>
  <si>
    <t>Juncus anthelatus</t>
  </si>
  <si>
    <t>greater poverty rush</t>
  </si>
  <si>
    <t>Juncus macer var. anthelatus</t>
  </si>
  <si>
    <t>Juncus tenuis var. anthelatus</t>
  </si>
  <si>
    <t>Juncus arcticus</t>
  </si>
  <si>
    <t>arctic rush</t>
  </si>
  <si>
    <t>mountain rush</t>
  </si>
  <si>
    <t>Juncus arcticus ssp. ater</t>
  </si>
  <si>
    <t>Juncus arcticus ssp. balticus</t>
  </si>
  <si>
    <t>Juncus arcticus var. balticus</t>
  </si>
  <si>
    <t>Juncus arcticus var. littoralis</t>
  </si>
  <si>
    <t>Juncus arcticus var. montanus</t>
  </si>
  <si>
    <t>Juncus ater</t>
  </si>
  <si>
    <t>Juncus balticus</t>
  </si>
  <si>
    <t>Juncus balticus var. balticus</t>
  </si>
  <si>
    <t>Juncus balticus var. littoralis</t>
  </si>
  <si>
    <t>Juncus balticus var. melanogenus</t>
  </si>
  <si>
    <t>Juncus balticus var. montanus</t>
  </si>
  <si>
    <t>Juncus balticus var. stenocarpus</t>
  </si>
  <si>
    <t>Juncus balticus var. vallicola</t>
  </si>
  <si>
    <t>Juncus bufonius</t>
  </si>
  <si>
    <t>toad rush</t>
  </si>
  <si>
    <t>Juncus bufonius var. bufonius</t>
  </si>
  <si>
    <t>Juncus canadensis</t>
  </si>
  <si>
    <t>Canadian rush</t>
  </si>
  <si>
    <t>Juncus canadensis var. euroauster</t>
  </si>
  <si>
    <t>Juncus canadensis var. sparsiflorus</t>
  </si>
  <si>
    <t>Dudley's rush</t>
  </si>
  <si>
    <t>Juncus tenuis var. dudleyi</t>
  </si>
  <si>
    <t>Juncus tenuis var. uniflorus</t>
  </si>
  <si>
    <t>common rush</t>
  </si>
  <si>
    <t>Juncus effusus var. solutus</t>
  </si>
  <si>
    <t>lamp rush</t>
  </si>
  <si>
    <t>Juncus effusus ssp. solutus</t>
  </si>
  <si>
    <t>Juncus griscomii</t>
  </si>
  <si>
    <t>Juncus greenei</t>
  </si>
  <si>
    <t>Greene's rush</t>
  </si>
  <si>
    <t>inland rush</t>
  </si>
  <si>
    <t>Juncus interior var. interior</t>
  </si>
  <si>
    <t>Juncus marginatus</t>
  </si>
  <si>
    <t>grassleaf rush</t>
  </si>
  <si>
    <t>Juncus marginatus var. marginatus</t>
  </si>
  <si>
    <t>Juncus marginatus var. setosus</t>
  </si>
  <si>
    <t>Juncus setosus</t>
  </si>
  <si>
    <t>Juncus ×nodosiformis</t>
  </si>
  <si>
    <t>Juncus nodosus</t>
  </si>
  <si>
    <t>knotted rush</t>
  </si>
  <si>
    <t>Juncus nodosus var. nodosus</t>
  </si>
  <si>
    <t>poverty rush</t>
  </si>
  <si>
    <t>Juncus macer</t>
  </si>
  <si>
    <t>Juncus tenuis var. multicornis</t>
  </si>
  <si>
    <t>Juncus tenuis var. williamsii</t>
  </si>
  <si>
    <t>Torrey's rush</t>
  </si>
  <si>
    <t>Juncus vaseyi</t>
  </si>
  <si>
    <t>Vasey's rush</t>
  </si>
  <si>
    <t>Juncus greenei var. vaseyi</t>
  </si>
  <si>
    <t>prairie Junegrass</t>
  </si>
  <si>
    <t>Koeleria albescens</t>
  </si>
  <si>
    <t>Koeleria cristata</t>
  </si>
  <si>
    <t>Koeleria cristata var. longifolia</t>
  </si>
  <si>
    <t>Koeleria cristata var. pinetorum</t>
  </si>
  <si>
    <t>Koeleria gracilis</t>
  </si>
  <si>
    <t>Koeleria nitida</t>
  </si>
  <si>
    <t>Koeleria pyramidata</t>
  </si>
  <si>
    <t>Koeleria yukonensis</t>
  </si>
  <si>
    <t>Leersia lenticularis</t>
  </si>
  <si>
    <t>catchfly grass</t>
  </si>
  <si>
    <t>Homalocenchrus lenticularis</t>
  </si>
  <si>
    <t>rice cutgrass</t>
  </si>
  <si>
    <t>Homalocenchrus oryzoides</t>
  </si>
  <si>
    <t>Phalaris oryzoides</t>
  </si>
  <si>
    <t>Leersia virginica</t>
  </si>
  <si>
    <t>whitegrass</t>
  </si>
  <si>
    <t>Homalocenchrus virginicus</t>
  </si>
  <si>
    <t>Leersia virginica var. ovata</t>
  </si>
  <si>
    <t>Leptochloa fusca</t>
  </si>
  <si>
    <t>Malabar sprangletop</t>
  </si>
  <si>
    <t>Leptochloa fusca ssp. fascicularis</t>
  </si>
  <si>
    <t>bearded sprangletop</t>
  </si>
  <si>
    <t>Diplachne acuminata</t>
  </si>
  <si>
    <t>Diplachne fascicularis</t>
  </si>
  <si>
    <t>Diplachne maritima</t>
  </si>
  <si>
    <t>Leptochloa acuminata</t>
  </si>
  <si>
    <t>Leptochloa fascicularis</t>
  </si>
  <si>
    <t>Leptochloa fascicularis var. acuminata</t>
  </si>
  <si>
    <t>Leptochloa fascicularis var. maritima</t>
  </si>
  <si>
    <t>Leptochloa fusca var. fascicularis</t>
  </si>
  <si>
    <t>Lipocarpha aristulata</t>
  </si>
  <si>
    <t>awned halfchaff sedge</t>
  </si>
  <si>
    <t>Hemicarpha aristulata</t>
  </si>
  <si>
    <t>Hemicarpha micrantha var. aristulata</t>
  </si>
  <si>
    <t>Lipocarpha microcephala</t>
  </si>
  <si>
    <t>Lipocarpha drummondii</t>
  </si>
  <si>
    <t>Drummond's halfchaff sedge</t>
  </si>
  <si>
    <t>Hemicarpha drummondii</t>
  </si>
  <si>
    <t>Hemicarpha micrantha var. drummondii</t>
  </si>
  <si>
    <t>Scirpus micranthus var. drummondii</t>
  </si>
  <si>
    <t>Lipocarpha micrantha</t>
  </si>
  <si>
    <t>smallflower halfchaff sedge</t>
  </si>
  <si>
    <t>Hemicarpha micrantha</t>
  </si>
  <si>
    <t>Hemicarpha micrantha var. minor</t>
  </si>
  <si>
    <t>Scirpus micranthus</t>
  </si>
  <si>
    <t>Scirpus micranthus var. minor</t>
  </si>
  <si>
    <t>Luzula acuminata</t>
  </si>
  <si>
    <t>hairy woodrush</t>
  </si>
  <si>
    <t>Luzula acuminata ssp. acuminata</t>
  </si>
  <si>
    <t>Juncoides saltuense</t>
  </si>
  <si>
    <t>Luzula acuminata var. acuminata</t>
  </si>
  <si>
    <t>Luzula carolinae var. saltuensis</t>
  </si>
  <si>
    <t>Luzula pilosa</t>
  </si>
  <si>
    <t>Luzula pilosa var. saltuensis</t>
  </si>
  <si>
    <t>Luzula saltuensis</t>
  </si>
  <si>
    <t>Luzula bulbosa</t>
  </si>
  <si>
    <t>bulbous woodrush</t>
  </si>
  <si>
    <t>Juncoides bulbosum</t>
  </si>
  <si>
    <t>Luzula campestris var. bulbosa</t>
  </si>
  <si>
    <t>Luzula multiflora var. bulbosa</t>
  </si>
  <si>
    <t>Luzula echinata</t>
  </si>
  <si>
    <t>hedgehog woodrush</t>
  </si>
  <si>
    <t>Juncoides echinatum</t>
  </si>
  <si>
    <t>Luzula campestris var. echinata</t>
  </si>
  <si>
    <t>Luzula echinata var. mesochorea</t>
  </si>
  <si>
    <t>Luzula multiflora var. echinata</t>
  </si>
  <si>
    <t>Luzula multiflora</t>
  </si>
  <si>
    <t>common woodrush</t>
  </si>
  <si>
    <t>Luzula multiflora ssp. multiflora</t>
  </si>
  <si>
    <t>Luzula multiflora ssp. multiflora var. multiflora</t>
  </si>
  <si>
    <t>Juncus campestris var. multiflorus</t>
  </si>
  <si>
    <t>Juncus multiflorus</t>
  </si>
  <si>
    <t>Luzula campestris var. multiflora</t>
  </si>
  <si>
    <t>Melica mutica</t>
  </si>
  <si>
    <t>twoflower melicgrass</t>
  </si>
  <si>
    <t>Melica nitens</t>
  </si>
  <si>
    <t>threeflower melicgrass</t>
  </si>
  <si>
    <t>Milium effusum</t>
  </si>
  <si>
    <t>American milletgrass</t>
  </si>
  <si>
    <t>Milium effusum var. cisatlanticum</t>
  </si>
  <si>
    <t>Muhlenbergia asperifolia</t>
  </si>
  <si>
    <t>scratchgrass</t>
  </si>
  <si>
    <t>Sporobolus asperifolius</t>
  </si>
  <si>
    <t>Muhlenbergia bushii</t>
  </si>
  <si>
    <t>nodding muhly</t>
  </si>
  <si>
    <t>Muhlenbergia brachyphylla</t>
  </si>
  <si>
    <t>Muhlenbergia ×curtisetosa</t>
  </si>
  <si>
    <t>Muhlenbergia schreberi ssp. curtisetosa</t>
  </si>
  <si>
    <t>Muhlenbergia schreberi var. curtisetosa</t>
  </si>
  <si>
    <t>plains muhly</t>
  </si>
  <si>
    <t>Muhlenbergia brevifolia</t>
  </si>
  <si>
    <t>Muhlenbergia frondosa</t>
  </si>
  <si>
    <t>wirestem muhly</t>
  </si>
  <si>
    <t>Agrostis frondosa</t>
  </si>
  <si>
    <t>Muhlenbergia commutata</t>
  </si>
  <si>
    <t>Muhlenbergia glabriflora</t>
  </si>
  <si>
    <t>inland muhly</t>
  </si>
  <si>
    <t>spiked muhly</t>
  </si>
  <si>
    <t>Muhlenbergia glomerata var. cinnoides</t>
  </si>
  <si>
    <t>Muhlenbergia racemosa var. cinnoides</t>
  </si>
  <si>
    <t>Mexican muhly</t>
  </si>
  <si>
    <t>Agrostis mexicana</t>
  </si>
  <si>
    <t>Muhlenbergia ambigua</t>
  </si>
  <si>
    <t>Muhlenbergia foliosa</t>
  </si>
  <si>
    <t>Muhlenbergia foliosa ssp. ambigua</t>
  </si>
  <si>
    <t>Muhlenbergia foliosa ssp. setiglumis</t>
  </si>
  <si>
    <t>Muhlenbergia mexicana var. filiformis</t>
  </si>
  <si>
    <t>marsh muhly</t>
  </si>
  <si>
    <t>Agrostis racemosa</t>
  </si>
  <si>
    <t>Muhlenbergia schreberi</t>
  </si>
  <si>
    <t>nimblewill</t>
  </si>
  <si>
    <t>Muhlenbergia palustris</t>
  </si>
  <si>
    <t>Muhlenbergia schreberi var. palustris</t>
  </si>
  <si>
    <t>Muhlenbergia sobolifera</t>
  </si>
  <si>
    <t>rock muhly</t>
  </si>
  <si>
    <t>Agrostis sobolifera</t>
  </si>
  <si>
    <t>Muhlenbergia sobolifera var. setigera</t>
  </si>
  <si>
    <t>Muhlenbergia sylvatica</t>
  </si>
  <si>
    <t>woodland muhly</t>
  </si>
  <si>
    <t>Agrostis sylvatica</t>
  </si>
  <si>
    <t>Muhlenbergia sylvatica var. robusta</t>
  </si>
  <si>
    <t>Muhlenbergia umbrosa</t>
  </si>
  <si>
    <t>Muhlenbergia tenuiflora</t>
  </si>
  <si>
    <t>slimflower muhly</t>
  </si>
  <si>
    <t>Agrostis tenuiflora</t>
  </si>
  <si>
    <t>Muhlenbergia tenuiflora ssp. variabilis</t>
  </si>
  <si>
    <t>Muhlenbergia tenuiflora var. variabilis</t>
  </si>
  <si>
    <t>green needlegrass</t>
  </si>
  <si>
    <t>Stipa viridula</t>
  </si>
  <si>
    <t>Neeragrostis reptans</t>
  </si>
  <si>
    <t>creeping lovegrass</t>
  </si>
  <si>
    <t>Eragrostis reptans</t>
  </si>
  <si>
    <t>Eragrostis weigeltiana</t>
  </si>
  <si>
    <t>Poa reptans</t>
  </si>
  <si>
    <t>Oryzopsis asperifolia</t>
  </si>
  <si>
    <t>roughleaf ricegrass</t>
  </si>
  <si>
    <t>Panicum anceps</t>
  </si>
  <si>
    <t>beaked panicgrass</t>
  </si>
  <si>
    <t>Panicum anceps var. rhizomatum</t>
  </si>
  <si>
    <t>Panicum rhizomatum</t>
  </si>
  <si>
    <t>Panicum capillare</t>
  </si>
  <si>
    <t>witchgrass</t>
  </si>
  <si>
    <t>Panicum barbipulvinatum</t>
  </si>
  <si>
    <t>Panicum capillare ssp. barbipulvinatum</t>
  </si>
  <si>
    <t>Panicum capillare var. agreste</t>
  </si>
  <si>
    <t>Panicum capillare var. barbipulvinatum</t>
  </si>
  <si>
    <t>Panicum capillare var. brevifolium</t>
  </si>
  <si>
    <t>Panicum capillare var. occidentale</t>
  </si>
  <si>
    <t>Panicum dichotomiflorum</t>
  </si>
  <si>
    <t>fall panicgrass</t>
  </si>
  <si>
    <t>Panicum dichotomiflorum var. dichotomiflorum</t>
  </si>
  <si>
    <t>Panicum dichotomiflorum var. geniculatum</t>
  </si>
  <si>
    <t>Panicum flexile</t>
  </si>
  <si>
    <t>wiry panicgrass</t>
  </si>
  <si>
    <t>Panicum capillare var. flexile</t>
  </si>
  <si>
    <t>Panicum gattingeri</t>
  </si>
  <si>
    <t>Gattinger's panicgrass</t>
  </si>
  <si>
    <t>Panicum capillare var. campestre</t>
  </si>
  <si>
    <t>Panicum philadelphicum ssp. gattingeri</t>
  </si>
  <si>
    <t>Panicum hillmanii</t>
  </si>
  <si>
    <t>Hillman's panicgrass</t>
  </si>
  <si>
    <t>Panicum philadelphicum</t>
  </si>
  <si>
    <t>Philadelphia panicgrass</t>
  </si>
  <si>
    <t>Panicum capillare var. sylvaticum</t>
  </si>
  <si>
    <t>Panicum lithophilum</t>
  </si>
  <si>
    <t>Panicum philadelphicum var. tuckermanii</t>
  </si>
  <si>
    <t>Panicum tuckermanii</t>
  </si>
  <si>
    <t>switchgrass</t>
  </si>
  <si>
    <t>Panicum virgatum var. virgatum</t>
  </si>
  <si>
    <t>Panicum virgatum var. cubense</t>
  </si>
  <si>
    <t>Panicum virgatum var. obtusum</t>
  </si>
  <si>
    <t>western wheatgrass</t>
  </si>
  <si>
    <t>Agropyron molle</t>
  </si>
  <si>
    <t>Agropyron smithii</t>
  </si>
  <si>
    <t>Agropyron smithii var. molle</t>
  </si>
  <si>
    <t>Agropyron smithii var. palmeri</t>
  </si>
  <si>
    <t>Elymus smithii</t>
  </si>
  <si>
    <t>Elytrigia smithii</t>
  </si>
  <si>
    <t>Elytrigia smithii var. mollis</t>
  </si>
  <si>
    <t>thin paspalum</t>
  </si>
  <si>
    <t>Paspalum bushii</t>
  </si>
  <si>
    <t>Paspalum ciliatifolium</t>
  </si>
  <si>
    <t>Paspalum ciliatifolium var. muehlenbergii</t>
  </si>
  <si>
    <t>Paspalum ciliatifolium var. stramineum</t>
  </si>
  <si>
    <t>Paspalum debile</t>
  </si>
  <si>
    <t>Paspalum longepedunculatum</t>
  </si>
  <si>
    <t>Paspalum muehlenbergii</t>
  </si>
  <si>
    <t>Paspalum propinquum</t>
  </si>
  <si>
    <t>Paspalum psammophilum</t>
  </si>
  <si>
    <t>Paspalum pubescens</t>
  </si>
  <si>
    <t>Paspalum rigidifolium</t>
  </si>
  <si>
    <t>Paspalum separatum</t>
  </si>
  <si>
    <t>Paspalum setaceum var. calvescens</t>
  </si>
  <si>
    <t>Paspalum setaceum var. ciliatifolium</t>
  </si>
  <si>
    <t>Paspalum setaceum var. longepedunculatum</t>
  </si>
  <si>
    <t>Paspalum setaceum var. muehlenbergii</t>
  </si>
  <si>
    <t>Paspalum setaceum var. psammophilum</t>
  </si>
  <si>
    <t>Paspalum setaceum var. rigidifolium</t>
  </si>
  <si>
    <t>Paspalum setaceum var. stramineum</t>
  </si>
  <si>
    <t>Paspalum setaceum var. supinum</t>
  </si>
  <si>
    <t>Paspalum setaceum var. villosissimum</t>
  </si>
  <si>
    <t>Paspalum stramineum</t>
  </si>
  <si>
    <t>Paspalum supinum</t>
  </si>
  <si>
    <t>Phalaris arundinacea</t>
  </si>
  <si>
    <t>reed canarygrass</t>
  </si>
  <si>
    <t>Phalaris arundinacea var. picta</t>
  </si>
  <si>
    <t>Phalaroides arundinacea</t>
  </si>
  <si>
    <t>Phalaroides arundinacea var. picta</t>
  </si>
  <si>
    <t>Phragmites australis</t>
  </si>
  <si>
    <t>common reed</t>
  </si>
  <si>
    <t>Phragmites australis var. berlandieri</t>
  </si>
  <si>
    <t>Phragmites communis</t>
  </si>
  <si>
    <t>Phragmites communis ssp. berlandieri</t>
  </si>
  <si>
    <t>Phragmites communis var. berlandieri</t>
  </si>
  <si>
    <t>Phragmites phragmites</t>
  </si>
  <si>
    <t>Piptatherum pungens</t>
  </si>
  <si>
    <t>mountain ricegrass</t>
  </si>
  <si>
    <t>Oryzopsis pungens</t>
  </si>
  <si>
    <t>Piptatherum racemosum</t>
  </si>
  <si>
    <t>blackseed ricegrass</t>
  </si>
  <si>
    <t>Oryzopsis racemosa</t>
  </si>
  <si>
    <t>Poa arida</t>
  </si>
  <si>
    <t>plains bluegrass</t>
  </si>
  <si>
    <t>Poa glaucifolia</t>
  </si>
  <si>
    <t>Poa pseudopratensis</t>
  </si>
  <si>
    <t>Poa chapmaniana</t>
  </si>
  <si>
    <t>Chapman's bluegrass</t>
  </si>
  <si>
    <t>Poa nemoralis</t>
  </si>
  <si>
    <t>wood bluegrass</t>
  </si>
  <si>
    <t>Poa paludigena</t>
  </si>
  <si>
    <t>bog bluegrass</t>
  </si>
  <si>
    <t>fowl bluegrass</t>
  </si>
  <si>
    <t>Poa crocata</t>
  </si>
  <si>
    <t>Poa eyerdamii</t>
  </si>
  <si>
    <t>Poa triflora</t>
  </si>
  <si>
    <t>Poa pratensis</t>
  </si>
  <si>
    <t>Kentucky bluegrass</t>
  </si>
  <si>
    <t>Poa pratensis ssp. pratensis</t>
  </si>
  <si>
    <t>Poa agassizensis</t>
  </si>
  <si>
    <t>Poa angustifolia</t>
  </si>
  <si>
    <t>Poa pratensis ssp. agassizensis</t>
  </si>
  <si>
    <t>Poa pratensis ssp. angustifolia</t>
  </si>
  <si>
    <t>Poa pratensis var. angustifolia</t>
  </si>
  <si>
    <t>Poa pratensis var. domestica</t>
  </si>
  <si>
    <t>Poa pratensis var. gelida</t>
  </si>
  <si>
    <t>Poa pratensis var. iantha</t>
  </si>
  <si>
    <t>Poa saltuensis</t>
  </si>
  <si>
    <t>oldpasture bluegrass</t>
  </si>
  <si>
    <t>Poa debilis</t>
  </si>
  <si>
    <t>Poa languida</t>
  </si>
  <si>
    <t>Poa saltuensis var. microlepis</t>
  </si>
  <si>
    <t>Poa sylvestris</t>
  </si>
  <si>
    <t>woodland bluegrass</t>
  </si>
  <si>
    <t>Poa wolfii</t>
  </si>
  <si>
    <t>Wolf's bluegrass</t>
  </si>
  <si>
    <t>Puccinellia distans</t>
  </si>
  <si>
    <t>weeping alkaligrass</t>
  </si>
  <si>
    <t>Rhynchospora capillacea</t>
  </si>
  <si>
    <t>needle beaksedge</t>
  </si>
  <si>
    <t>Rhynchospora capillacea var. leviseta</t>
  </si>
  <si>
    <t>Rhynchospora smallii</t>
  </si>
  <si>
    <t>Schedonnardus paniculatus</t>
  </si>
  <si>
    <t>tumblegrass</t>
  </si>
  <si>
    <t>Schizachne purpurascens</t>
  </si>
  <si>
    <t>false melic</t>
  </si>
  <si>
    <t>Avena torreyi</t>
  </si>
  <si>
    <t>Melica purpurascens</t>
  </si>
  <si>
    <t>Schizachne purpurascens var. pubescens</t>
  </si>
  <si>
    <t>Schizachne stricta</t>
  </si>
  <si>
    <t>Trisetum purpurascens</t>
  </si>
  <si>
    <t>little bluestem</t>
  </si>
  <si>
    <t>Schizachyrium scoparium var. scoparium</t>
  </si>
  <si>
    <t>Andropogon praematurus</t>
  </si>
  <si>
    <t>Andropogon scoparius</t>
  </si>
  <si>
    <t>Andropogon scoparius var. ducis</t>
  </si>
  <si>
    <t>Andropogon scoparius var. frequens</t>
  </si>
  <si>
    <t>Andropogon scoparius var. neomexicanus</t>
  </si>
  <si>
    <t>Andropogon scoparius var. polycladus</t>
  </si>
  <si>
    <t>Andropogon scoparius var. septentrionalis</t>
  </si>
  <si>
    <t>Schizachyrium praematurum</t>
  </si>
  <si>
    <t>Schizachyrium scoparium ssp. neomexicanum</t>
  </si>
  <si>
    <t>Schizachyrium scoparium var. frequens</t>
  </si>
  <si>
    <t>Schizachyrium scoparium var. neomexicanum</t>
  </si>
  <si>
    <t>Schizachyrium scoparium var. polycladum</t>
  </si>
  <si>
    <t>hardstem bulrush</t>
  </si>
  <si>
    <t>Schoenoplectus acutus var. acutus</t>
  </si>
  <si>
    <t>Schoenoplectus lacustris ssp. acutus</t>
  </si>
  <si>
    <t>Scirpus acutus</t>
  </si>
  <si>
    <t>Scirpus lacustris</t>
  </si>
  <si>
    <t>river bulrush</t>
  </si>
  <si>
    <t>Bolboschoenus fluviatilis</t>
  </si>
  <si>
    <t>Bolboschoenus maritimus ssp. fluviatilis</t>
  </si>
  <si>
    <t>Scirpus fluviatilis</t>
  </si>
  <si>
    <t>Schoenoplectus hallii</t>
  </si>
  <si>
    <t>Hall's bulrush</t>
  </si>
  <si>
    <t>Scirpus hallii</t>
  </si>
  <si>
    <t>Scirpus supinus</t>
  </si>
  <si>
    <t>Scirpus supinus var. hallii</t>
  </si>
  <si>
    <t>Scirpus uninodis var. hallii</t>
  </si>
  <si>
    <t>Schoenoplectus heterochaetus</t>
  </si>
  <si>
    <t>slender bulrush</t>
  </si>
  <si>
    <t>Scirpus heterochaetus</t>
  </si>
  <si>
    <t>Scirpus lacustris var. tenuiculmis</t>
  </si>
  <si>
    <t>Scirpus tenuiculmis</t>
  </si>
  <si>
    <t>Schoenoplectus maritimus</t>
  </si>
  <si>
    <t>cosmopolitan bulrush</t>
  </si>
  <si>
    <t>Bolboschoenus maritimus</t>
  </si>
  <si>
    <t>Bolboschoenus maritimus ssp. paludosus</t>
  </si>
  <si>
    <t>Bolboschoenus maritimus var. paludosus</t>
  </si>
  <si>
    <t>Bolboschoenus paludosus</t>
  </si>
  <si>
    <t>Scirpus fernaldii</t>
  </si>
  <si>
    <t>Scirpus maritimus</t>
  </si>
  <si>
    <t>Scirpus maritimus var. fernaldii</t>
  </si>
  <si>
    <t>Scirpus maritimus var. paludosus</t>
  </si>
  <si>
    <t>Scirpus pacificus</t>
  </si>
  <si>
    <t>Scirpus paludosus</t>
  </si>
  <si>
    <t>Scirpus paludosus var. atlanticus</t>
  </si>
  <si>
    <t>Schoenoplectus ×oblongus</t>
  </si>
  <si>
    <t>Schoenoplectus ×oblongatus</t>
  </si>
  <si>
    <t>Scirpus ×oblongus</t>
  </si>
  <si>
    <t>common threesquare</t>
  </si>
  <si>
    <t>Schoenoplectus pungens var. longispicatus</t>
  </si>
  <si>
    <t>Scirpus americanus var. longispicatus</t>
  </si>
  <si>
    <t>Scirpus pungens var. longispicatus</t>
  </si>
  <si>
    <t>Schoenoplectus pungens var. pungens</t>
  </si>
  <si>
    <t>Bolboschoenus maritimus var. polyphyllus</t>
  </si>
  <si>
    <t>Schoenoplectus pungens var. polyphyllus</t>
  </si>
  <si>
    <t>Scirpus americanus</t>
  </si>
  <si>
    <t>Scirpus americanus var. polyphyllus</t>
  </si>
  <si>
    <t>Scirpus pungens</t>
  </si>
  <si>
    <t>Scirpus pungens var. polyphyllus</t>
  </si>
  <si>
    <t>Schoenoplectus smithii</t>
  </si>
  <si>
    <t>Smith's bulrush</t>
  </si>
  <si>
    <t>Scirpus smithii</t>
  </si>
  <si>
    <t>Scirpus smithii var. levisetus</t>
  </si>
  <si>
    <t>Scirpus smithii var. setosus</t>
  </si>
  <si>
    <t>softstem bulrush</t>
  </si>
  <si>
    <t>Schoenoplectus lacustris ssp. creber</t>
  </si>
  <si>
    <t>Schoenoplectus lacustris ssp. tabernaemontani</t>
  </si>
  <si>
    <t>Schoenoplectus lacustris ssp. validus</t>
  </si>
  <si>
    <t>Schoenoplectus validus</t>
  </si>
  <si>
    <t>Schoenoplectus validus ssp. creber</t>
  </si>
  <si>
    <t>Schoenoplectus validus ssp. luxurians</t>
  </si>
  <si>
    <t>Scirpus lacustris ssp. creber</t>
  </si>
  <si>
    <t>Scirpus lacustris ssp. glaucus</t>
  </si>
  <si>
    <t>Scirpus lacustris ssp. tabernaemontani</t>
  </si>
  <si>
    <t>Scirpus lacustris ssp. validus</t>
  </si>
  <si>
    <t>Scirpus tabernaemontani</t>
  </si>
  <si>
    <t>Scirpus validus</t>
  </si>
  <si>
    <t>Scirpus validus var. creber</t>
  </si>
  <si>
    <t>Schoenoplectus torreyi</t>
  </si>
  <si>
    <t>Torrey's bulrush</t>
  </si>
  <si>
    <t>Scirpus torreyi</t>
  </si>
  <si>
    <t>Scirpus atrocinctus</t>
  </si>
  <si>
    <t>blackgirdle bulrush</t>
  </si>
  <si>
    <t>Scirpus cyperinus var. brachypodus</t>
  </si>
  <si>
    <t>green bulrush</t>
  </si>
  <si>
    <t>woolgrass</t>
  </si>
  <si>
    <t>Scirpus cyperinus var. condensatus</t>
  </si>
  <si>
    <t>Scirpus cyperinus var. eriophorum</t>
  </si>
  <si>
    <t>Scirpus cyperinus var. laxus</t>
  </si>
  <si>
    <t>Scirpus cyperinus var. pelius</t>
  </si>
  <si>
    <t>Scirpus cyperinus var. rubricosus</t>
  </si>
  <si>
    <t>Scirpus eriophorum</t>
  </si>
  <si>
    <t>Scirpus rubricosus</t>
  </si>
  <si>
    <t>Scirpus microcarpus</t>
  </si>
  <si>
    <t>panicled bulrush</t>
  </si>
  <si>
    <t>Scirpus microcarpus var. longispicatus</t>
  </si>
  <si>
    <t>Scirpus microcarpus var. rubrotinctus</t>
  </si>
  <si>
    <t>Scirpus rubrotinctus</t>
  </si>
  <si>
    <t>Scirpus pallidus</t>
  </si>
  <si>
    <t>cloaked bulrush</t>
  </si>
  <si>
    <t>Scirpus atrovirens var. pallidus</t>
  </si>
  <si>
    <t>Scirpus pedicellatus</t>
  </si>
  <si>
    <t>stalked bulrush</t>
  </si>
  <si>
    <t>Scirpus cyperinus var. pedicellatus</t>
  </si>
  <si>
    <t>Scirpus pedicellatus var. pullus</t>
  </si>
  <si>
    <t>Scirpus pendulus</t>
  </si>
  <si>
    <t>rufous bulrush</t>
  </si>
  <si>
    <t>Scirpus lineatus</t>
  </si>
  <si>
    <t>Scleria triglomerata</t>
  </si>
  <si>
    <t>whip nutrush</t>
  </si>
  <si>
    <t>Scleria flaccida</t>
  </si>
  <si>
    <t>Scleria nitida</t>
  </si>
  <si>
    <t>Scleria verticillata</t>
  </si>
  <si>
    <t>low nutrush</t>
  </si>
  <si>
    <t>Scleria tenella</t>
  </si>
  <si>
    <t>Sclerochloa dura</t>
  </si>
  <si>
    <t>common hardgrass</t>
  </si>
  <si>
    <t>Cynosurus durus</t>
  </si>
  <si>
    <t>Scolochloa festucacea</t>
  </si>
  <si>
    <t>common rivergrass</t>
  </si>
  <si>
    <t>Arundo festucacea</t>
  </si>
  <si>
    <t>Fluminia festucacea</t>
  </si>
  <si>
    <t>Setaria parviflora</t>
  </si>
  <si>
    <t>marsh bristlegrass</t>
  </si>
  <si>
    <t>Chaetochloa geniculata</t>
  </si>
  <si>
    <t>Chaetochloa imberbis</t>
  </si>
  <si>
    <t>Panicum geniculatum</t>
  </si>
  <si>
    <t>Setaria geniculata</t>
  </si>
  <si>
    <t>Setaria gracilis</t>
  </si>
  <si>
    <t>Andropogon nutans</t>
  </si>
  <si>
    <t>Sorghastrum avenaceum</t>
  </si>
  <si>
    <t>prairie cordgrass</t>
  </si>
  <si>
    <t>Spartina michauxiana</t>
  </si>
  <si>
    <t>Spartina pectinata var. suttiei</t>
  </si>
  <si>
    <t>Sphenopholis intermedia</t>
  </si>
  <si>
    <t>slender wedgescale</t>
  </si>
  <si>
    <t>Sphenopholis intermedia var. pilosa</t>
  </si>
  <si>
    <t>Sphenopholis obtusata var. major</t>
  </si>
  <si>
    <t>Sphenopholis obtusata</t>
  </si>
  <si>
    <t>prairie wedgescale</t>
  </si>
  <si>
    <t>Aira obtusata</t>
  </si>
  <si>
    <t>Sphenopholis obtusata var. lobata</t>
  </si>
  <si>
    <t>Sphenopholis obtusata var. pubescens</t>
  </si>
  <si>
    <t>rough dropseed</t>
  </si>
  <si>
    <t>Sporobolus asper var. canovirens</t>
  </si>
  <si>
    <t>Sporobolus asper var. clandestinus</t>
  </si>
  <si>
    <t>Sporobolus canovirens</t>
  </si>
  <si>
    <t>Sporobolus clandestinus var. canovirens</t>
  </si>
  <si>
    <t>Sporobolus compositus var. clandestinus</t>
  </si>
  <si>
    <t>Sporobolus longifolius</t>
  </si>
  <si>
    <t>Sporobolus compositus</t>
  </si>
  <si>
    <t>composite dropseed</t>
  </si>
  <si>
    <t>Sporobolus compositus var. compositus</t>
  </si>
  <si>
    <t>Sporobolus asper</t>
  </si>
  <si>
    <t>Sporobolus asper var. hookeri</t>
  </si>
  <si>
    <t>Sporobolus compositus var. drummondii</t>
  </si>
  <si>
    <t>Drummond's dropseed</t>
  </si>
  <si>
    <t>Sporobolus asper var. drummondii</t>
  </si>
  <si>
    <t>Sporobolus asper var. pilosus</t>
  </si>
  <si>
    <t>Sporobolus attenuatus</t>
  </si>
  <si>
    <t>Sporobolus drummondii</t>
  </si>
  <si>
    <t>Sporobolus pilosus</t>
  </si>
  <si>
    <t>sand dropseed</t>
  </si>
  <si>
    <t>Agrostis cryptandra</t>
  </si>
  <si>
    <t>Sporobolus cryptandrus ssp. fuscicola</t>
  </si>
  <si>
    <t>Sporobolus cryptandrus var. fuscicola</t>
  </si>
  <si>
    <t>Sporobolus cryptandrus var. occidentalis</t>
  </si>
  <si>
    <t>prairie dropseed</t>
  </si>
  <si>
    <t>Sporobolus neglectus</t>
  </si>
  <si>
    <t>puffsheath dropseed</t>
  </si>
  <si>
    <t>Sporobolus vaginiflorus var. neglectus</t>
  </si>
  <si>
    <t>Sporobolus vaginiflorus</t>
  </si>
  <si>
    <t>poverty dropseed</t>
  </si>
  <si>
    <t>Sporobolus vaginiflorus var. vaginiflorus</t>
  </si>
  <si>
    <t>Sporobolus vaginiflorus var. inaequalis</t>
  </si>
  <si>
    <t>purpletop tridens</t>
  </si>
  <si>
    <t>Tridens flavus var. flavus</t>
  </si>
  <si>
    <t>Triodia flava</t>
  </si>
  <si>
    <t>Triglochin maritima</t>
  </si>
  <si>
    <t>seaside arrowgrass</t>
  </si>
  <si>
    <t>Triglochin elata</t>
  </si>
  <si>
    <t>Triglochin elatum</t>
  </si>
  <si>
    <t>Triglochin maritima var. elata</t>
  </si>
  <si>
    <t>Triglochin maritimum</t>
  </si>
  <si>
    <t>Triglochin maritimum var. elatum</t>
  </si>
  <si>
    <t>Triglochin palustris</t>
  </si>
  <si>
    <t>marsh arrowgrass</t>
  </si>
  <si>
    <t>Triglochin palustre</t>
  </si>
  <si>
    <t>Triplasis purpurea</t>
  </si>
  <si>
    <t>purple sandgrass</t>
  </si>
  <si>
    <t>Triplasis intermedia</t>
  </si>
  <si>
    <t>eastern gamagrass</t>
  </si>
  <si>
    <t>Coix dactyloides</t>
  </si>
  <si>
    <t>Tripsacum dactyloides var. occidentale</t>
  </si>
  <si>
    <t>Vulpia elliotea</t>
  </si>
  <si>
    <t>squirreltail fescue</t>
  </si>
  <si>
    <t>Festuca sciurea</t>
  </si>
  <si>
    <t>Vulpia sciurea</t>
  </si>
  <si>
    <t>Vulpia octoflora</t>
  </si>
  <si>
    <t>sixweeks fescue</t>
  </si>
  <si>
    <t>Vulpia octoflora var. glauca</t>
  </si>
  <si>
    <t>Festuca gracilenta</t>
  </si>
  <si>
    <t>Festuca octoflora var. glauca</t>
  </si>
  <si>
    <t>Festuca octoflora var. tenella</t>
  </si>
  <si>
    <t>Festuca tenella</t>
  </si>
  <si>
    <t>Festuca tenella var. glauca</t>
  </si>
  <si>
    <t>Vulpia octoflora var. tenella</t>
  </si>
  <si>
    <t>Vulpia octoflora var. hirtella</t>
  </si>
  <si>
    <t>Festuca octoflora ssp. hirtella</t>
  </si>
  <si>
    <t>Festuca octoflora var. hirtella</t>
  </si>
  <si>
    <t>Vulpia octoflora var. octoflora</t>
  </si>
  <si>
    <t>Festuca octoflora</t>
  </si>
  <si>
    <t>Festuca octoflora var. aristulata</t>
  </si>
  <si>
    <t>Zizania aquatica</t>
  </si>
  <si>
    <t>annual wildrice</t>
  </si>
  <si>
    <t>Zizania aquatica var. aquatica</t>
  </si>
  <si>
    <t>Zizania aquatica var. subbrevis</t>
  </si>
  <si>
    <t>Zizania palustris</t>
  </si>
  <si>
    <t>northern wildrice</t>
  </si>
  <si>
    <t>Zizania palustris var. interior</t>
  </si>
  <si>
    <t>Zizania aquatica var. interior</t>
  </si>
  <si>
    <t>Zizania palustris var. palustris</t>
  </si>
  <si>
    <t>Zizania aquatica ssp. angustifolia</t>
  </si>
  <si>
    <t>Zizania aquatica var. angustifolia</t>
  </si>
  <si>
    <t>Gramnoids (Grasses and Grass-like Plants)</t>
  </si>
  <si>
    <t>Acalypha deamii</t>
  </si>
  <si>
    <t>Deam's threeseed mercury</t>
  </si>
  <si>
    <t>Acalypha rhomboidea var. deamii</t>
  </si>
  <si>
    <t>Acalypha virginica var. deamii</t>
  </si>
  <si>
    <t>Acalypha gracilens</t>
  </si>
  <si>
    <t>slender threeseed mercury</t>
  </si>
  <si>
    <t>Acalypha gracilens var. delzii</t>
  </si>
  <si>
    <t>Acalypha gracilens var. fraseri</t>
  </si>
  <si>
    <t>Acalypha virginica var. gracilens</t>
  </si>
  <si>
    <t>Acalypha ostryifolia</t>
  </si>
  <si>
    <t>pineland threeseed mercury</t>
  </si>
  <si>
    <t>Acalypha caroliniana</t>
  </si>
  <si>
    <t>Acalypha rhomboidea</t>
  </si>
  <si>
    <t>common threeseed mercury</t>
  </si>
  <si>
    <t>Acalypha virginica var. rhomboidea</t>
  </si>
  <si>
    <t>Acalypha virginica</t>
  </si>
  <si>
    <t>Virginia threeseed mercury</t>
  </si>
  <si>
    <t>common yarrow</t>
  </si>
  <si>
    <t>Achillea millefolium var. occidentalis</t>
  </si>
  <si>
    <t>western yarrow</t>
  </si>
  <si>
    <t>Achillea angustissima</t>
  </si>
  <si>
    <t>Achillea aspleniifolia</t>
  </si>
  <si>
    <t>Achillea eradiata</t>
  </si>
  <si>
    <t>Achillea gracilis</t>
  </si>
  <si>
    <t>Achillea lanulosa</t>
  </si>
  <si>
    <t>Achillea lanulosa ssp. typica</t>
  </si>
  <si>
    <t>Achillea lanulosa var. arachnoidea</t>
  </si>
  <si>
    <t>Achillea lanulosa var. eradiata</t>
  </si>
  <si>
    <t>Achillea laxiflora</t>
  </si>
  <si>
    <t>Achillea millefolium ssp. lanulosa</t>
  </si>
  <si>
    <t>Achillea millefolium ssp. occidentalis</t>
  </si>
  <si>
    <t>Achillea millefolium ssp. pallidotegula</t>
  </si>
  <si>
    <t>Achillea millefolium var. aspleniifolia</t>
  </si>
  <si>
    <t>Achillea millefolium var. gracilis</t>
  </si>
  <si>
    <t>Achillea millefolium var. lanulosa</t>
  </si>
  <si>
    <t>Achillea millefolium var. rosea</t>
  </si>
  <si>
    <t>Achillea millefolium var. russeolata</t>
  </si>
  <si>
    <t>Achillea occidentalis</t>
  </si>
  <si>
    <t>Achillea rosea</t>
  </si>
  <si>
    <t>Achillea tomentosa</t>
  </si>
  <si>
    <t>Aconitum columbianum</t>
  </si>
  <si>
    <t>Columbian monkshood</t>
  </si>
  <si>
    <t>Aconitum columbianum ssp. columbianum</t>
  </si>
  <si>
    <t>Aconitum columbianum ssp. pallidum</t>
  </si>
  <si>
    <t>Aconitum columbianum var. bakeri</t>
  </si>
  <si>
    <t>Aconitum columbianum var. ochroleucum</t>
  </si>
  <si>
    <t>Aconitum geranioides</t>
  </si>
  <si>
    <t>Aconitum leibergii</t>
  </si>
  <si>
    <t>Aconitum mogollonicum</t>
  </si>
  <si>
    <t>Aconitum noveboracense</t>
  </si>
  <si>
    <t>northern blue monkshood</t>
  </si>
  <si>
    <t>Aconitum noveboracense var. quasiciliatum</t>
  </si>
  <si>
    <t>Aconitum uncinatum ssp. noveboracense</t>
  </si>
  <si>
    <t>Acorus americanus</t>
  </si>
  <si>
    <t>sweetflag</t>
  </si>
  <si>
    <t>Acorus calamus var. americanus</t>
  </si>
  <si>
    <t>calamus</t>
  </si>
  <si>
    <t>white baneberry</t>
  </si>
  <si>
    <t>Actaea alba</t>
  </si>
  <si>
    <t>Actaea racemosa</t>
  </si>
  <si>
    <t>black baneberry</t>
  </si>
  <si>
    <t>Actaea racemosa var. racemosa</t>
  </si>
  <si>
    <t>black bugbane</t>
  </si>
  <si>
    <t>Cimicifuga racemosa</t>
  </si>
  <si>
    <t>red baneberry</t>
  </si>
  <si>
    <t>Actaea rubra ssp. rubra</t>
  </si>
  <si>
    <t>Actaea spicata ssp. rubra</t>
  </si>
  <si>
    <t>Adiantum pedatum</t>
  </si>
  <si>
    <t>northern maidenhair</t>
  </si>
  <si>
    <t>Adlumia fungosa</t>
  </si>
  <si>
    <t>allegheny vine</t>
  </si>
  <si>
    <t>Adoxa moschatellina</t>
  </si>
  <si>
    <t>muskroot</t>
  </si>
  <si>
    <t>Agalinis aspera</t>
  </si>
  <si>
    <t>tall false foxglove</t>
  </si>
  <si>
    <t>Gerardia aspera</t>
  </si>
  <si>
    <t>Agalinis auriculata</t>
  </si>
  <si>
    <t>earleaf false foxglove</t>
  </si>
  <si>
    <t>Aureolaria auriculata</t>
  </si>
  <si>
    <t>Gerardia auriculata</t>
  </si>
  <si>
    <t>Otophylla auriculata</t>
  </si>
  <si>
    <t>Tomanthera auriculata</t>
  </si>
  <si>
    <t>Agalinis gattingeri</t>
  </si>
  <si>
    <t>roundstem false foxglove</t>
  </si>
  <si>
    <t>Gerardia gattingeri</t>
  </si>
  <si>
    <t>Agalinis paupercula</t>
  </si>
  <si>
    <t>smallflower false foxglove</t>
  </si>
  <si>
    <t>Agalinis paupercula var. borealis</t>
  </si>
  <si>
    <t>Agalinis purpurea var. parviflora</t>
  </si>
  <si>
    <t>Gerardia paupercula ssp. borealis</t>
  </si>
  <si>
    <t>Gerardia paupercula var. borealis</t>
  </si>
  <si>
    <t>Gerardia purpurea var. parviflora</t>
  </si>
  <si>
    <t>Agalinis paupercula var. paupercula</t>
  </si>
  <si>
    <t>Gerardia paupercula</t>
  </si>
  <si>
    <t>Gerardia paupercula var. typica</t>
  </si>
  <si>
    <t>Gerardia purpurea var. paupercula</t>
  </si>
  <si>
    <t>Agalinis purpurea</t>
  </si>
  <si>
    <t>purple false foxglove</t>
  </si>
  <si>
    <t>Agalinis purpurea var. carteri</t>
  </si>
  <si>
    <t>Gerardia purpurea</t>
  </si>
  <si>
    <t>Gerardia purpurea ssp. parvula</t>
  </si>
  <si>
    <t>Gerardia purpurea var. carteri</t>
  </si>
  <si>
    <t>Gerardia purpurea var. grandiflora</t>
  </si>
  <si>
    <t>Agalinis skinneriana</t>
  </si>
  <si>
    <t>Skinner's false foxglove</t>
  </si>
  <si>
    <t>Gerardia skinneriana</t>
  </si>
  <si>
    <t>slenderleaf false foxglove</t>
  </si>
  <si>
    <t>Agalinis tenuifolia var. macrophylla</t>
  </si>
  <si>
    <t>Agalinis besseyana</t>
  </si>
  <si>
    <t>Gerardia besseyana</t>
  </si>
  <si>
    <t>Gerardia tenuifolia ssp. macrophylla</t>
  </si>
  <si>
    <t>Gerardia tenuifolia var. macrophylla</t>
  </si>
  <si>
    <t>Agalinis tenuifolia var. parviflora</t>
  </si>
  <si>
    <t>Gerardia tenuifolia ssp. parviflora</t>
  </si>
  <si>
    <t>Gerardia tenuifolia var. parviflora</t>
  </si>
  <si>
    <t>blue giant hyssop</t>
  </si>
  <si>
    <t>Agastache anethiodora</t>
  </si>
  <si>
    <t>yellow giant hyssop</t>
  </si>
  <si>
    <t>purple giant hyssop</t>
  </si>
  <si>
    <t>Agastache scrophulariifolia var. mollis</t>
  </si>
  <si>
    <t>white snakeroot</t>
  </si>
  <si>
    <t>Ageratina altissima var. altissima</t>
  </si>
  <si>
    <t>Ageratum altissimum</t>
  </si>
  <si>
    <t>Eupatorium rugosum</t>
  </si>
  <si>
    <t>Eupatorium rugosum var. chlorolepis</t>
  </si>
  <si>
    <t>Eupatorium rugosum var. tomentellum</t>
  </si>
  <si>
    <t>Eupatorium rugosum var. villicaule</t>
  </si>
  <si>
    <t>Eupatorium urticifolium var. tomentellum</t>
  </si>
  <si>
    <t>Agoseris glauca</t>
  </si>
  <si>
    <t>pale agoseris</t>
  </si>
  <si>
    <t>Agoseris glauca var. glauca</t>
  </si>
  <si>
    <t>Agoseris turbinata</t>
  </si>
  <si>
    <t>Troximon glaucum</t>
  </si>
  <si>
    <t>Agrimonia gryposepala</t>
  </si>
  <si>
    <t>tall hairy agrimony</t>
  </si>
  <si>
    <t>Agrimonia parviflora</t>
  </si>
  <si>
    <t>harvestlice</t>
  </si>
  <si>
    <t>Agrimonia pubescens</t>
  </si>
  <si>
    <t>soft agrimony</t>
  </si>
  <si>
    <t>Agrimonia bicknellii</t>
  </si>
  <si>
    <t>Agrimonia mollis</t>
  </si>
  <si>
    <t>Agrimonia striata</t>
  </si>
  <si>
    <t>roadside agrimony</t>
  </si>
  <si>
    <t>Alisma gramineum</t>
  </si>
  <si>
    <t>narrowleaf water plantain</t>
  </si>
  <si>
    <t>Alisma geyeri</t>
  </si>
  <si>
    <t>Alisma gramineum var. angustissimum</t>
  </si>
  <si>
    <t>Alisma gramineum var. geyeri</t>
  </si>
  <si>
    <t>Alisma gramineum var. graminifolium</t>
  </si>
  <si>
    <t>Alisma gramineum var. wahlenbergii</t>
  </si>
  <si>
    <t>Alisma lanceolatum</t>
  </si>
  <si>
    <t>Alisma subcordatum</t>
  </si>
  <si>
    <t>American water plantain</t>
  </si>
  <si>
    <t>Alisma plantago-aquatica ssp. subcordatum</t>
  </si>
  <si>
    <t>Alisma plantago-aquatica var. parviflorum</t>
  </si>
  <si>
    <t>Alisma triviale</t>
  </si>
  <si>
    <t>northern water plantain</t>
  </si>
  <si>
    <t>Alisma brevipes</t>
  </si>
  <si>
    <t>Alisma plantago-aquatica ssp. brevipes</t>
  </si>
  <si>
    <t>Alisma plantago-aquatica var. americanum</t>
  </si>
  <si>
    <t>Alisma plantago-aquatica var. brevipes</t>
  </si>
  <si>
    <t>Allium burdickii</t>
  </si>
  <si>
    <t>narrowleaf wild leek</t>
  </si>
  <si>
    <t>Allium tricoccum var. burdickii</t>
  </si>
  <si>
    <t>meadow garlic</t>
  </si>
  <si>
    <t>Allium canadense var. canadense</t>
  </si>
  <si>
    <t>Allium acetabulum</t>
  </si>
  <si>
    <t>Allium canadense var. ovoideum</t>
  </si>
  <si>
    <t>Allium canadense var. robustum</t>
  </si>
  <si>
    <t>Allium continuum</t>
  </si>
  <si>
    <t>Allium canadense var. lavandulare</t>
  </si>
  <si>
    <t>Allium canadense ssp. lavandulare</t>
  </si>
  <si>
    <t>Allium lavandulare</t>
  </si>
  <si>
    <t>Allium canadense var. mobilense</t>
  </si>
  <si>
    <t>Allium arenicola</t>
  </si>
  <si>
    <t>Allium canadense ssp. mobilense</t>
  </si>
  <si>
    <t>Allium microscordion</t>
  </si>
  <si>
    <t>Allium mobilense</t>
  </si>
  <si>
    <t>Allium mutabile</t>
  </si>
  <si>
    <t>Allium zenobine</t>
  </si>
  <si>
    <t>Allium cernuum</t>
  </si>
  <si>
    <t>nodding onion</t>
  </si>
  <si>
    <t>Allium cernuum var. cernuum</t>
  </si>
  <si>
    <t>Allium perdulce</t>
  </si>
  <si>
    <t>plains onion</t>
  </si>
  <si>
    <t>Allium perdulce var. perdulce</t>
  </si>
  <si>
    <t>autumn onion</t>
  </si>
  <si>
    <t>Allium textile</t>
  </si>
  <si>
    <t>textile onion</t>
  </si>
  <si>
    <t>Allium aridum</t>
  </si>
  <si>
    <t>Allium geyeri var. textile</t>
  </si>
  <si>
    <t>Allium reticulatum</t>
  </si>
  <si>
    <t>Allium reticulatum var. playanum</t>
  </si>
  <si>
    <t>ramp</t>
  </si>
  <si>
    <t>Validallium tricoccum</t>
  </si>
  <si>
    <t>Amaranthus arenicola</t>
  </si>
  <si>
    <t>sandhill amaranth</t>
  </si>
  <si>
    <t>Amaranthus torreyi</t>
  </si>
  <si>
    <t>Amaranthus hybridus</t>
  </si>
  <si>
    <t>slim amaranth</t>
  </si>
  <si>
    <t>Amaranthus chlorostachys</t>
  </si>
  <si>
    <t>Amaranthus incurvatus</t>
  </si>
  <si>
    <t>Amaranthus patulus</t>
  </si>
  <si>
    <t>Amaranthus powellii</t>
  </si>
  <si>
    <t>Powell's amaranth</t>
  </si>
  <si>
    <t>Amaranthus powellii ssp. powellii</t>
  </si>
  <si>
    <t>Amaranthus bracteosus</t>
  </si>
  <si>
    <t>Amaranthus retroflexus var. powellii</t>
  </si>
  <si>
    <t>Amaranthus viscidulus</t>
  </si>
  <si>
    <t>Amaranthus retroflexus</t>
  </si>
  <si>
    <t>redroot amaranth</t>
  </si>
  <si>
    <t>Amaranthus retroflexus var. salicifolius</t>
  </si>
  <si>
    <t>Amaranthus spinosus</t>
  </si>
  <si>
    <t>spiny amaranth</t>
  </si>
  <si>
    <t>Amaranthus tuberculatus</t>
  </si>
  <si>
    <t>roughfruit amaranth</t>
  </si>
  <si>
    <t>Acnida altissima</t>
  </si>
  <si>
    <t>Acnida altissima var. prostrata</t>
  </si>
  <si>
    <t>Acnida altissima var. subnuda</t>
  </si>
  <si>
    <t>Acnida concatenata</t>
  </si>
  <si>
    <t>Acnida subnuda</t>
  </si>
  <si>
    <t>Acnida tamariscina</t>
  </si>
  <si>
    <t>Acnida tamariscina var. prostrata</t>
  </si>
  <si>
    <t>Acnida tuberculata</t>
  </si>
  <si>
    <t>Amaranthus altissimus</t>
  </si>
  <si>
    <t>Amaranthus ambigens</t>
  </si>
  <si>
    <t>Amaranthus rudis</t>
  </si>
  <si>
    <t>Amaranthus tamariscinus</t>
  </si>
  <si>
    <t>Amaranthus tuberculatus var. prostratus</t>
  </si>
  <si>
    <t>Amaranthus tuberculatus var. subnudus</t>
  </si>
  <si>
    <t>Ambrosia artemisiifolia</t>
  </si>
  <si>
    <t>annual ragweed</t>
  </si>
  <si>
    <t>Ambrosia artemisiifolia var. elatior</t>
  </si>
  <si>
    <t>Ambrosia elatior</t>
  </si>
  <si>
    <t>Ambrosia bidentata</t>
  </si>
  <si>
    <t>lanceleaf ragweed</t>
  </si>
  <si>
    <t>Ambrosia ×helenae</t>
  </si>
  <si>
    <t>Ambrosia psilostachya</t>
  </si>
  <si>
    <t>Cuman ragweed</t>
  </si>
  <si>
    <t>Ambrosia californica</t>
  </si>
  <si>
    <t>Ambrosia coronopifolia</t>
  </si>
  <si>
    <t>Ambrosia cumanensis</t>
  </si>
  <si>
    <t>Ambrosia psilostachya var. californica</t>
  </si>
  <si>
    <t>Ambrosia psilostachya var. coronopifolia</t>
  </si>
  <si>
    <t>Ambrosia psilostachya var. lindheimeriana</t>
  </si>
  <si>
    <t>Ambrosia rugelii</t>
  </si>
  <si>
    <t>Ambrosia tomentosa</t>
  </si>
  <si>
    <t>skeletonleaf bur ragweed</t>
  </si>
  <si>
    <t>Franseria discolor</t>
  </si>
  <si>
    <t>Franseria tomentosa</t>
  </si>
  <si>
    <t>Gaertneria discolor</t>
  </si>
  <si>
    <t>Gaertneria tomentosa</t>
  </si>
  <si>
    <t>Ambrosia trifida</t>
  </si>
  <si>
    <t>great ragweed</t>
  </si>
  <si>
    <t>Ambrosia trifida var. trifida</t>
  </si>
  <si>
    <t>Ambrosia trifida var. integrifolia</t>
  </si>
  <si>
    <t>Ammannia coccinea</t>
  </si>
  <si>
    <t>valley redstem</t>
  </si>
  <si>
    <t>Ammannia coccinea ssp. purpurea</t>
  </si>
  <si>
    <t>Ammannia teres</t>
  </si>
  <si>
    <t>Ammannia robusta</t>
  </si>
  <si>
    <t>grand redstem</t>
  </si>
  <si>
    <t>Ammannia coccinea ssp. robusta</t>
  </si>
  <si>
    <t>Ludwigia scabriuscula</t>
  </si>
  <si>
    <t>Amphiachyris dracunculoides</t>
  </si>
  <si>
    <t>prairie broomweed</t>
  </si>
  <si>
    <t>Brachyris dracunculoides</t>
  </si>
  <si>
    <t>Gutierrezia dracunculoides</t>
  </si>
  <si>
    <t>Xanthocephalum dracunculoides</t>
  </si>
  <si>
    <t>Amphicarpaea bracteata</t>
  </si>
  <si>
    <t>American hogpeanut</t>
  </si>
  <si>
    <t>Amphicarpaea bracteata var. bracteata</t>
  </si>
  <si>
    <t>Amphicarpaea monoica</t>
  </si>
  <si>
    <t>Amphicarpaea bracteata var. comosa</t>
  </si>
  <si>
    <t>Amphicarpaea comosa</t>
  </si>
  <si>
    <t>Amphicarpaea pitcheri</t>
  </si>
  <si>
    <t>Falcata comosa</t>
  </si>
  <si>
    <t>Falcata pitcheri</t>
  </si>
  <si>
    <t>Glycine comosa</t>
  </si>
  <si>
    <t>Anagallis arvensis</t>
  </si>
  <si>
    <t>scarlet pimpernel</t>
  </si>
  <si>
    <t>Anagallis arvensis ssp. foemina</t>
  </si>
  <si>
    <t>poorman's weatherglass</t>
  </si>
  <si>
    <t>Anagallis arvensis var. caerulea</t>
  </si>
  <si>
    <t>Anagallis caerulea</t>
  </si>
  <si>
    <t>Anagallis foemina</t>
  </si>
  <si>
    <t>Anaphalis margaritacea</t>
  </si>
  <si>
    <t>western pearly everlasting</t>
  </si>
  <si>
    <t>Anaphalis margaritacea var. angustior</t>
  </si>
  <si>
    <t>Anaphalis margaritacea var. intercedens</t>
  </si>
  <si>
    <t>Anaphalis margaritacea var. occidentalis</t>
  </si>
  <si>
    <t>Anaphalis margaritacea var. revoluta</t>
  </si>
  <si>
    <t>Anaphalis margaritacea var. subalpina</t>
  </si>
  <si>
    <t>Anaphalis occidentalis</t>
  </si>
  <si>
    <t>Gnaphalium margaritaceum</t>
  </si>
  <si>
    <t>Androsace occidentalis</t>
  </si>
  <si>
    <t>western rockjasmine</t>
  </si>
  <si>
    <t>Androsace arizonica</t>
  </si>
  <si>
    <t>Androsace occidentalis var. arizonica</t>
  </si>
  <si>
    <t>Androsace occidentalis var. simplex</t>
  </si>
  <si>
    <t>Canadian anemone</t>
  </si>
  <si>
    <t>Anemonidium canadense</t>
  </si>
  <si>
    <t>Anemone caroliniana</t>
  </si>
  <si>
    <t>Carolina anemone</t>
  </si>
  <si>
    <t>candle anemone</t>
  </si>
  <si>
    <t>Anemone quinquefolia</t>
  </si>
  <si>
    <t>wood anemone</t>
  </si>
  <si>
    <t>Anemone quinquefolia var. bifolia</t>
  </si>
  <si>
    <t>twoleaf anemone</t>
  </si>
  <si>
    <t>Anemone nemorosa var. bifolia</t>
  </si>
  <si>
    <t>Anemone quinquefolia var. interior</t>
  </si>
  <si>
    <t>tall thimbleweed</t>
  </si>
  <si>
    <t>Anemone virginiana var. virginiana</t>
  </si>
  <si>
    <t>purplestem angelica</t>
  </si>
  <si>
    <t>Angelica atropurpurea var. occidentalis</t>
  </si>
  <si>
    <t>Anoda cristata</t>
  </si>
  <si>
    <t>crested anoda</t>
  </si>
  <si>
    <t>Anoda acerifolia</t>
  </si>
  <si>
    <t>Anoda cristata var. brachyantha</t>
  </si>
  <si>
    <t>Anoda cristata var. digitata</t>
  </si>
  <si>
    <t>Anoda lavaterioides</t>
  </si>
  <si>
    <t>Sida cristata</t>
  </si>
  <si>
    <t>Antennaria howellii</t>
  </si>
  <si>
    <t>Howell's pussytoes</t>
  </si>
  <si>
    <t>Antennaria howellii ssp. neodioica</t>
  </si>
  <si>
    <t>Antennaria grandis</t>
  </si>
  <si>
    <t>Antennaria neglecta var. attenuata</t>
  </si>
  <si>
    <t>Antennaria neglecta var. neodioica</t>
  </si>
  <si>
    <t>Antennaria neodioica</t>
  </si>
  <si>
    <t>Antennaria neodioica var. attenuata</t>
  </si>
  <si>
    <t>Antennaria neodioica var. chlorophylla</t>
  </si>
  <si>
    <t>Antennaria neodioica var. grandis</t>
  </si>
  <si>
    <t>Antennaria neodioica var. interjecta</t>
  </si>
  <si>
    <t>Antennaria neodioica var. rupicola</t>
  </si>
  <si>
    <t>Antennaria obovata</t>
  </si>
  <si>
    <t>Antennaria rhodantha</t>
  </si>
  <si>
    <t>Antennaria rupicola</t>
  </si>
  <si>
    <t>Antennaria russellii</t>
  </si>
  <si>
    <t>Antennaria neglecta</t>
  </si>
  <si>
    <t>field pussytoes</t>
  </si>
  <si>
    <t>Antennaria angustiarum</t>
  </si>
  <si>
    <t>Antennaria athabascensis</t>
  </si>
  <si>
    <t>Antennaria campestris</t>
  </si>
  <si>
    <t>Antennaria campestris var. athabascensis</t>
  </si>
  <si>
    <t>Antennaria chelonica</t>
  </si>
  <si>
    <t>Antennaria erosa</t>
  </si>
  <si>
    <t>Antennaria howellii var. athabascensis</t>
  </si>
  <si>
    <t>Antennaria howellii var. campestris</t>
  </si>
  <si>
    <t>Antennaria longifolia</t>
  </si>
  <si>
    <t>Antennaria lunellii</t>
  </si>
  <si>
    <t>Antennaria nebraskensis</t>
  </si>
  <si>
    <t>Antennaria neglecta var. athabascensis</t>
  </si>
  <si>
    <t>Antennaria neglecta var. campestris</t>
  </si>
  <si>
    <t>Antennaria parvula</t>
  </si>
  <si>
    <t>Antennaria wilsonii</t>
  </si>
  <si>
    <t>Antennaria parlinii</t>
  </si>
  <si>
    <t>Parlin's pussytoes</t>
  </si>
  <si>
    <t>Antennaria parlinii ssp. fallax</t>
  </si>
  <si>
    <t>Antennaria ambigens</t>
  </si>
  <si>
    <t>Antennaria ampla</t>
  </si>
  <si>
    <t>Antennaria arkansana</t>
  </si>
  <si>
    <t>Antennaria arnoglossa var. ambigens</t>
  </si>
  <si>
    <t>Antennaria bifrons</t>
  </si>
  <si>
    <t>Antennaria brainerdii</t>
  </si>
  <si>
    <t>Antennaria calophylla</t>
  </si>
  <si>
    <t>Antennaria fallax</t>
  </si>
  <si>
    <t>Antennaria fallax var. calophylla</t>
  </si>
  <si>
    <t>Antennaria farwellii</t>
  </si>
  <si>
    <t>Antennaria greenei</t>
  </si>
  <si>
    <t>Antennaria mesochora</t>
  </si>
  <si>
    <t>Antennaria munda</t>
  </si>
  <si>
    <t>Antennaria occidentalis</t>
  </si>
  <si>
    <t>Antennaria parlinii var. farwellii</t>
  </si>
  <si>
    <t>Antennaria plantaginifolia var. ambigens</t>
  </si>
  <si>
    <t>Antennaria umbellata</t>
  </si>
  <si>
    <t>Antennaria parlinii ssp. parlinii</t>
  </si>
  <si>
    <t>Antennaria arnoglossa</t>
  </si>
  <si>
    <t>Antennaria parlinii var. arnoglossa</t>
  </si>
  <si>
    <t>Antennaria plantaginifolia var. arnoglossa</t>
  </si>
  <si>
    <t>Antennaria plantaginifolia var. parlinii</t>
  </si>
  <si>
    <t>woman's tobacco</t>
  </si>
  <si>
    <t>Antennaria caroliniana</t>
  </si>
  <si>
    <t>Antennaria decipiens</t>
  </si>
  <si>
    <t>Antennaria denikeana</t>
  </si>
  <si>
    <t>Antennaria nemoralis</t>
  </si>
  <si>
    <t>Antennaria petiolata</t>
  </si>
  <si>
    <t>Antennaria pinetorum</t>
  </si>
  <si>
    <t>Antennaria plantaginifolia var. petiolata</t>
  </si>
  <si>
    <t>Gnaphalium plantaginifolium</t>
  </si>
  <si>
    <t>Apios americana</t>
  </si>
  <si>
    <t>groundnut</t>
  </si>
  <si>
    <t>Apios americana var. turrigera</t>
  </si>
  <si>
    <t>Glycine apios</t>
  </si>
  <si>
    <t>Aplectrum hyemale</t>
  </si>
  <si>
    <t>Adam and Eve</t>
  </si>
  <si>
    <t>Apocynum androsaemifolium</t>
  </si>
  <si>
    <t>spreading dogbane</t>
  </si>
  <si>
    <t>Apocynum ambigens</t>
  </si>
  <si>
    <t>Apocynum androsaemifolium ssp. pumilum</t>
  </si>
  <si>
    <t>Apocynum androsaemifolium var. glabrum</t>
  </si>
  <si>
    <t>Apocynum androsaemifolium var. griseum</t>
  </si>
  <si>
    <t>Apocynum androsaemifolium var. incanum</t>
  </si>
  <si>
    <t>Apocynum androsaemifolium var. intermedium</t>
  </si>
  <si>
    <t>Apocynum androsaemifolium var. pumilum</t>
  </si>
  <si>
    <t>Apocynum androsaemifolium var. tomentellum</t>
  </si>
  <si>
    <t>Apocynum androsaemifolium var. woodsonii</t>
  </si>
  <si>
    <t>Apocynum pumilum</t>
  </si>
  <si>
    <t>Apocynum pumilum var. rhomboideum</t>
  </si>
  <si>
    <t>Apocynum scopulorum</t>
  </si>
  <si>
    <t>Apocynum cannabinum</t>
  </si>
  <si>
    <t>Indianhemp</t>
  </si>
  <si>
    <t>Apocynum cannabinum var. angustifolium</t>
  </si>
  <si>
    <t>Apocynum cannabinum var. glaberrimum</t>
  </si>
  <si>
    <t>Apocynum cannabinum var. greeneanum</t>
  </si>
  <si>
    <t>Apocynum cannabinum var. hypericifolium</t>
  </si>
  <si>
    <t>Apocynum cannabinum var. nemorale</t>
  </si>
  <si>
    <t>Apocynum cannabinum var. pubescens</t>
  </si>
  <si>
    <t>Apocynum cannabinum var. suksdorfii</t>
  </si>
  <si>
    <t>Apocynum hypericifolium</t>
  </si>
  <si>
    <t>Apocynum pubescens</t>
  </si>
  <si>
    <t>Apocynum sibiricum</t>
  </si>
  <si>
    <t>Apocynum sibiricum var. cordigerum</t>
  </si>
  <si>
    <t>Apocynum sibiricum var. farwellii</t>
  </si>
  <si>
    <t>Apocynum sibiricum var. salignum</t>
  </si>
  <si>
    <t>Apocynum suksdorfii</t>
  </si>
  <si>
    <t>Apocynum suksdorfii var. angustifolium</t>
  </si>
  <si>
    <t>Apocynum ×floribundum</t>
  </si>
  <si>
    <t>Apocynum jonesii</t>
  </si>
  <si>
    <t>Apocynum medium</t>
  </si>
  <si>
    <t>Apocynum medium var. floribundum</t>
  </si>
  <si>
    <t>Apocynum medium var. leuconeuron</t>
  </si>
  <si>
    <t>Apocynum medium var. lividum</t>
  </si>
  <si>
    <t>Apocynum medium var. sarniense</t>
  </si>
  <si>
    <t>Apocynum medium var. vestitum</t>
  </si>
  <si>
    <t>Apocynum milleri</t>
  </si>
  <si>
    <t>red columbine</t>
  </si>
  <si>
    <t>Aquilegia australis</t>
  </si>
  <si>
    <t>Aquilegia canadensis var. australis</t>
  </si>
  <si>
    <t>Aquilegia canadensis var. coccinea</t>
  </si>
  <si>
    <t>Aquilegia canadensis var. eminens</t>
  </si>
  <si>
    <t>Aquilegia canadensis var. hybrida</t>
  </si>
  <si>
    <t>Aquilegia canadensis var. latiuscula</t>
  </si>
  <si>
    <t>Aquilegia coccinea</t>
  </si>
  <si>
    <t>Aquilegia latiuscula</t>
  </si>
  <si>
    <t>Aquilegia phoenicantha</t>
  </si>
  <si>
    <t>Arabis canadensis</t>
  </si>
  <si>
    <t>sicklepod</t>
  </si>
  <si>
    <t>Arabis ×divaricarpa</t>
  </si>
  <si>
    <t>spreadingpod rockcress</t>
  </si>
  <si>
    <t>Arabis acutina</t>
  </si>
  <si>
    <t>Arabis confinis var. interposita</t>
  </si>
  <si>
    <t>Arabis divaricarpa var. dechamplainii</t>
  </si>
  <si>
    <t>Arabis divaricarpa var. interposita</t>
  </si>
  <si>
    <t>Arabis divaricarpa var. stenocarpa</t>
  </si>
  <si>
    <t>Arabis divaricarpa var. typica</t>
  </si>
  <si>
    <t>Arabis interposita</t>
  </si>
  <si>
    <t>Boechera divaricarpa</t>
  </si>
  <si>
    <t>Arabis drummondii</t>
  </si>
  <si>
    <t>Drummond's rockcress</t>
  </si>
  <si>
    <t>Arabis brachycarpa</t>
  </si>
  <si>
    <t>Arabis confinis</t>
  </si>
  <si>
    <t>Arabis connexa</t>
  </si>
  <si>
    <t>Arabis drummondii var. connexa</t>
  </si>
  <si>
    <t>Arabis drummondii var. oxyphylla</t>
  </si>
  <si>
    <t>Arabis oxyphylla</t>
  </si>
  <si>
    <t>Boechera angustifolia</t>
  </si>
  <si>
    <t>Boechera brachycarpa</t>
  </si>
  <si>
    <t>Boechera drummondii</t>
  </si>
  <si>
    <t>Erysimum drummondii</t>
  </si>
  <si>
    <t>Turritis drummondii</t>
  </si>
  <si>
    <t>tower rockcress</t>
  </si>
  <si>
    <t>Arabis glabra var. furcatipilis</t>
  </si>
  <si>
    <t>Arabis glabra var. glabra</t>
  </si>
  <si>
    <t>Turritis glabra</t>
  </si>
  <si>
    <t>hairy rockcress</t>
  </si>
  <si>
    <t>Arabis hirsuta var. pycnocarpa</t>
  </si>
  <si>
    <t>creamflower rockcress</t>
  </si>
  <si>
    <t>Arabis hirsuta ssp. pycnocarpa</t>
  </si>
  <si>
    <t>Arabis hirsuta var. adpressipilis</t>
  </si>
  <si>
    <t>Arabis ovata</t>
  </si>
  <si>
    <t>Arabis pycnocarpa</t>
  </si>
  <si>
    <t>Arabis pycnocarpa var. adpressipilis</t>
  </si>
  <si>
    <t>Arabis laevigata</t>
  </si>
  <si>
    <t>smooth rockcress</t>
  </si>
  <si>
    <t>Arabis laevigata var. laevigata</t>
  </si>
  <si>
    <t>Arabis heterophylla</t>
  </si>
  <si>
    <t>Arabis lyrifolia</t>
  </si>
  <si>
    <t>Turritis laevigata</t>
  </si>
  <si>
    <t>Arabis lyrata</t>
  </si>
  <si>
    <t>lyrate rockcress</t>
  </si>
  <si>
    <t>Arabidopsis lyrata</t>
  </si>
  <si>
    <t>Arabis lyrata var. glabra</t>
  </si>
  <si>
    <t>Arabis missouriensis</t>
  </si>
  <si>
    <t>green rockcress</t>
  </si>
  <si>
    <t>Arabis laevigata var. missouriensis</t>
  </si>
  <si>
    <t>Arabis missouriensis var. deamii</t>
  </si>
  <si>
    <t>Arabis viridis</t>
  </si>
  <si>
    <t>Arabis viridis var. deamii</t>
  </si>
  <si>
    <t>Arabis viridis var. heterophylla</t>
  </si>
  <si>
    <t>Arabis shortii</t>
  </si>
  <si>
    <t>Short's rockcress</t>
  </si>
  <si>
    <t>Arabis dentata</t>
  </si>
  <si>
    <t>Arabis dentata var. phalacrocarpa</t>
  </si>
  <si>
    <t>Arabis perstellata var. phalacrocarpa</t>
  </si>
  <si>
    <t>Arabis perstellata var. shortii</t>
  </si>
  <si>
    <t>Arabis shortii var. phalacrocarpa</t>
  </si>
  <si>
    <t>Iodanthus dentatus</t>
  </si>
  <si>
    <t>Sisymbrium dentatum</t>
  </si>
  <si>
    <t>Aralia nudicaulis</t>
  </si>
  <si>
    <t>wild sarsaparilla</t>
  </si>
  <si>
    <t>American spikenard</t>
  </si>
  <si>
    <t>Aralia racemosa ssp. racemosa</t>
  </si>
  <si>
    <t>Argemone albiflora</t>
  </si>
  <si>
    <t>bluestem pricklypoppy</t>
  </si>
  <si>
    <t>Argemone albiflora ssp. albiflora</t>
  </si>
  <si>
    <t>Argemone alba</t>
  </si>
  <si>
    <t>Argemone mexicana</t>
  </si>
  <si>
    <t>Mexican pricklypoppy</t>
  </si>
  <si>
    <t>Argemone leiocarpa</t>
  </si>
  <si>
    <t>Argemone polyanthemos</t>
  </si>
  <si>
    <t>crested pricklypoppy</t>
  </si>
  <si>
    <t>Argemone intermedia</t>
  </si>
  <si>
    <t>Argemone intermedia var. polyanthemos</t>
  </si>
  <si>
    <t>Argemone platyceras</t>
  </si>
  <si>
    <t>Argentina anserina</t>
  </si>
  <si>
    <t>silverweed cinquefoil</t>
  </si>
  <si>
    <t>Argentina anserina var. concolor</t>
  </si>
  <si>
    <t>Argentina argentea</t>
  </si>
  <si>
    <t>Potentilla anserina</t>
  </si>
  <si>
    <t>Potentilla anserina ssp. anserina</t>
  </si>
  <si>
    <t>Potentilla anserina var. concolor</t>
  </si>
  <si>
    <t>Potentilla anserina var. sericea</t>
  </si>
  <si>
    <t>Potentilla anserina var. yukonensis</t>
  </si>
  <si>
    <t>Potentilla egedii ssp. yukonensis</t>
  </si>
  <si>
    <t>Potentilla yukonensis</t>
  </si>
  <si>
    <t>Arisaema dracontium</t>
  </si>
  <si>
    <t>green dragon</t>
  </si>
  <si>
    <t>Muricauda dracontium</t>
  </si>
  <si>
    <t>Jack in the pulpit</t>
  </si>
  <si>
    <t>Arisaema triphyllum ssp. pusillum</t>
  </si>
  <si>
    <t>Arisaema acuminatum</t>
  </si>
  <si>
    <t>Arisaema pusillum</t>
  </si>
  <si>
    <t>Arisaema triphyllum ssp. triphyllum</t>
  </si>
  <si>
    <t>Arisaema atrorubens</t>
  </si>
  <si>
    <t>Aristolochia serpentaria</t>
  </si>
  <si>
    <t>Virginia snakeroot</t>
  </si>
  <si>
    <t>Aristolochia convolvulacea</t>
  </si>
  <si>
    <t>Aristolochia hastata</t>
  </si>
  <si>
    <t>Aristolochia nashii</t>
  </si>
  <si>
    <t>Aristolochia serpentaria var. hastata</t>
  </si>
  <si>
    <t>Aristolochia serpentaria var. nashii</t>
  </si>
  <si>
    <t>Endodeca serpentaria var. hastata</t>
  </si>
  <si>
    <t>pale Indian plantain</t>
  </si>
  <si>
    <t>Cacalia atriplicifolia</t>
  </si>
  <si>
    <t>Cacalia rotundifolia</t>
  </si>
  <si>
    <t>Mesadenia atriplicifolia</t>
  </si>
  <si>
    <t>groovestem Indian plantain</t>
  </si>
  <si>
    <t>Cacalia paniculata</t>
  </si>
  <si>
    <t>Cacalia plantaginea</t>
  </si>
  <si>
    <t>Cacalia pteranthes</t>
  </si>
  <si>
    <t>Cacalia tuberosa</t>
  </si>
  <si>
    <t>Mesadenia tuberosa</t>
  </si>
  <si>
    <t>Arnoglossum reniforme</t>
  </si>
  <si>
    <t>great Indian plantain</t>
  </si>
  <si>
    <t>Arnoglossum muehlenbergii</t>
  </si>
  <si>
    <t>Cacalia muehlenbergii</t>
  </si>
  <si>
    <t>Cacalia reniformis</t>
  </si>
  <si>
    <t>Mesadenia reniformis</t>
  </si>
  <si>
    <t>Senecio muehlenbergii</t>
  </si>
  <si>
    <t>Artemisia biennis</t>
  </si>
  <si>
    <t>biennial wormwood</t>
  </si>
  <si>
    <t>field sagewort</t>
  </si>
  <si>
    <t>Artemisia campestris ssp. caudata</t>
  </si>
  <si>
    <t>Artemisia campestris var. caudata</t>
  </si>
  <si>
    <t>Artemisia caudata</t>
  </si>
  <si>
    <t>Artemisia caudata var. calvens</t>
  </si>
  <si>
    <t>Artemisia forwoodii</t>
  </si>
  <si>
    <t>Oligosporus campestris ssp. caudatus</t>
  </si>
  <si>
    <t>Oligosporus caudatus</t>
  </si>
  <si>
    <t>Artemisia dracunculus</t>
  </si>
  <si>
    <t>tarragon</t>
  </si>
  <si>
    <t>Artemisia dracunculoides</t>
  </si>
  <si>
    <t>Artemisia dracunculoides var. dracunculina</t>
  </si>
  <si>
    <t>Artemisia dracunculus ssp. glauca</t>
  </si>
  <si>
    <t>Artemisia dracunculus var. glauca</t>
  </si>
  <si>
    <t>Artemisia glauca</t>
  </si>
  <si>
    <t>Artemisia glauca var. dracunculina</t>
  </si>
  <si>
    <t>Oligosporus dracunculus</t>
  </si>
  <si>
    <t>Oligosporus dracunculus ssp. dracunculinus</t>
  </si>
  <si>
    <t>Oligosporus dracunculus ssp. glaucus</t>
  </si>
  <si>
    <t>white sagebrush</t>
  </si>
  <si>
    <t>Artemisia ludoviciana ssp. ludoviciana</t>
  </si>
  <si>
    <t>Artemisia diversifolia</t>
  </si>
  <si>
    <t>Artemisia gnaphalodes</t>
  </si>
  <si>
    <t>Artemisia herriotii</t>
  </si>
  <si>
    <t>Artemisia ludoviciana ssp. typica</t>
  </si>
  <si>
    <t>Artemisia ludoviciana var. americana</t>
  </si>
  <si>
    <t>Artemisia ludoviciana var. brittonii</t>
  </si>
  <si>
    <t>Artemisia ludoviciana var. gnaphalodes</t>
  </si>
  <si>
    <t>Artemisia ludoviciana var. latifolia</t>
  </si>
  <si>
    <t>Artemisia ludoviciana var. pabularis</t>
  </si>
  <si>
    <t>Artemisia pabularis</t>
  </si>
  <si>
    <t>Artemisia purshiana</t>
  </si>
  <si>
    <t>Artemisia vulgaris ssp. ludoviciana</t>
  </si>
  <si>
    <t>Artemisia vulgaris var. ludoviciana</t>
  </si>
  <si>
    <t>Artemisia serrata</t>
  </si>
  <si>
    <t>sawtooth wormwood</t>
  </si>
  <si>
    <t>Artemisia vulgaris</t>
  </si>
  <si>
    <t>common wormwood</t>
  </si>
  <si>
    <t>Aruncus dioicus</t>
  </si>
  <si>
    <t>bride's feathers</t>
  </si>
  <si>
    <t>Aruncus dioicus var. pubescens</t>
  </si>
  <si>
    <t>Aruncus allegheniensis var. pubescens</t>
  </si>
  <si>
    <t>Aruncus pubescens</t>
  </si>
  <si>
    <t>Canadian wildginger</t>
  </si>
  <si>
    <t>Asarum acuminatum</t>
  </si>
  <si>
    <t>Asarum canadense var. acuminatum</t>
  </si>
  <si>
    <t>Asarum canadense var. ambiguum</t>
  </si>
  <si>
    <t>Asarum canadense var. reflexum</t>
  </si>
  <si>
    <t>Asarum reflexum</t>
  </si>
  <si>
    <t>Asarum rubrocinctum</t>
  </si>
  <si>
    <t>clasping milkweed</t>
  </si>
  <si>
    <t>Asclepias engelmanniana</t>
  </si>
  <si>
    <t>Engelmann's milkweed</t>
  </si>
  <si>
    <t>Acerates auriculata</t>
  </si>
  <si>
    <t>Asclepias auriculata</t>
  </si>
  <si>
    <t>poke milkweed</t>
  </si>
  <si>
    <t>Asclepias bicknellii</t>
  </si>
  <si>
    <t>Asclepias phytolaccoides</t>
  </si>
  <si>
    <t>green milkweed</t>
  </si>
  <si>
    <t>Acerates hirtella</t>
  </si>
  <si>
    <t>Asclepias longifolia var. hirtella</t>
  </si>
  <si>
    <t>swamp milkweed</t>
  </si>
  <si>
    <t>Asclepias incarnata ssp. incarnata</t>
  </si>
  <si>
    <t>Asclepias lanuginosa</t>
  </si>
  <si>
    <t>sidecluster milkweed</t>
  </si>
  <si>
    <t>Acerates lanuginosa</t>
  </si>
  <si>
    <t>Asclepias otarioides</t>
  </si>
  <si>
    <t>Asclepias meadii</t>
  </si>
  <si>
    <t>Mead's milkweed</t>
  </si>
  <si>
    <t>Asclepias ovalifolia</t>
  </si>
  <si>
    <t>oval-leaf milkweed</t>
  </si>
  <si>
    <t>Asclepias pumila</t>
  </si>
  <si>
    <t>plains milkweed</t>
  </si>
  <si>
    <t>purple milkweed</t>
  </si>
  <si>
    <t>Asclepias quadrifolia</t>
  </si>
  <si>
    <t>fourleaf milkweed</t>
  </si>
  <si>
    <t>Asclepias speciosa</t>
  </si>
  <si>
    <t>showy milkweed</t>
  </si>
  <si>
    <t>Asclepias giffordii</t>
  </si>
  <si>
    <t>Asclepias stenophylla</t>
  </si>
  <si>
    <t>slimleaf milkweed</t>
  </si>
  <si>
    <t>Acerates angustifolia</t>
  </si>
  <si>
    <t>Polyotus angustifolius</t>
  </si>
  <si>
    <t>prairie milkweed</t>
  </si>
  <si>
    <t>common milkweed</t>
  </si>
  <si>
    <t>Asclepias intermedia</t>
  </si>
  <si>
    <t>Asclepias kansana</t>
  </si>
  <si>
    <t>Asclepias syriaca var. kansana</t>
  </si>
  <si>
    <t>butterfly milkweed</t>
  </si>
  <si>
    <t>Asclepias tuberosa ssp. interior</t>
  </si>
  <si>
    <t>Asclepias tuberosa ssp. terminalis</t>
  </si>
  <si>
    <t>Asclepias tuberosa var. interior</t>
  </si>
  <si>
    <t>whorled milkweed</t>
  </si>
  <si>
    <t>green comet milkweed</t>
  </si>
  <si>
    <t>Acerates viridiflora</t>
  </si>
  <si>
    <t>Acerates viridiflora var. ivesii</t>
  </si>
  <si>
    <t>Acerates viridiflora var. linearis</t>
  </si>
  <si>
    <t>Asclepias viridiflora var. lanceolata</t>
  </si>
  <si>
    <t>Asclepias viridiflora var. linearis</t>
  </si>
  <si>
    <t>Asplenium platyneuron</t>
  </si>
  <si>
    <t>ebony spleenwort</t>
  </si>
  <si>
    <t>Asplenium platyneuron var. platyneuron</t>
  </si>
  <si>
    <t>Asplenium platyneuron var. incisum</t>
  </si>
  <si>
    <t>Asplenium rhizophyllum</t>
  </si>
  <si>
    <t>walking fern</t>
  </si>
  <si>
    <t>Camptosorus rhizophyllus</t>
  </si>
  <si>
    <t>Astragalus agrestis</t>
  </si>
  <si>
    <t>purple milkvetch</t>
  </si>
  <si>
    <t>Astragalus danicus var. dasyglottis</t>
  </si>
  <si>
    <t>Astragalus dasyglottis</t>
  </si>
  <si>
    <t>Astragalus goniatus</t>
  </si>
  <si>
    <t>Astragalus hypoglottis</t>
  </si>
  <si>
    <t>Canadian milkvetch</t>
  </si>
  <si>
    <t>Astragalus canadensis var. canadensis</t>
  </si>
  <si>
    <t>Astragalus canadensis var. carolinianus</t>
  </si>
  <si>
    <t>Astragalus canadensis var. longilobus</t>
  </si>
  <si>
    <t>Astragalus carolinianus</t>
  </si>
  <si>
    <t>Astragalus halei</t>
  </si>
  <si>
    <t>groundplum milkvetch</t>
  </si>
  <si>
    <t>Astragalus crassicarpus var. crassicarpus</t>
  </si>
  <si>
    <t>Astragalus caryocarpus</t>
  </si>
  <si>
    <t>Astragalus succulentus</t>
  </si>
  <si>
    <t>Geoprumnon crassicarpum</t>
  </si>
  <si>
    <t>Geoprumnon succulentum</t>
  </si>
  <si>
    <t>Astragalus distortus</t>
  </si>
  <si>
    <t>Ozark milkvetch</t>
  </si>
  <si>
    <t>Astragalus distortus var. distortus</t>
  </si>
  <si>
    <t>Holcophacos distortus</t>
  </si>
  <si>
    <t>Astragalus flexuosus</t>
  </si>
  <si>
    <t>flexile milkvetch</t>
  </si>
  <si>
    <t>Astragalus flexuosus var. flexuosus</t>
  </si>
  <si>
    <t>Astragalus flexuosus var. elongatus</t>
  </si>
  <si>
    <t>Astragalus flexuosus var. sierrae-blancae</t>
  </si>
  <si>
    <t>Pisophaca flexuosa</t>
  </si>
  <si>
    <t>Astragalus laxmannii</t>
  </si>
  <si>
    <t>Laxmann's milkvetch</t>
  </si>
  <si>
    <t>Astragalus laxmannii var. robustior</t>
  </si>
  <si>
    <t>prairie milkvetch</t>
  </si>
  <si>
    <t>Astragalus adsurgens</t>
  </si>
  <si>
    <t>Astragalus adsurgens ssp. robustior</t>
  </si>
  <si>
    <t>Astragalus adsurgens var. robustior</t>
  </si>
  <si>
    <t>Astragalus striatus</t>
  </si>
  <si>
    <t>Astragalus sulphurescens</t>
  </si>
  <si>
    <t>Astragalus lotiflorus</t>
  </si>
  <si>
    <t>lotus milkvetch</t>
  </si>
  <si>
    <t>Astragalus elatiocarpus</t>
  </si>
  <si>
    <t>Astragalus lotiflorus var. nebraskensis</t>
  </si>
  <si>
    <t>Astragalus lotiflorus var. reverchonii</t>
  </si>
  <si>
    <t>Astragalus reverchonii</t>
  </si>
  <si>
    <t>Batidophaca lotiflorus</t>
  </si>
  <si>
    <t>Astragalus missouriensis</t>
  </si>
  <si>
    <t>Missouri milkvetch</t>
  </si>
  <si>
    <t>Astragalus missouriensis var. missouriensis</t>
  </si>
  <si>
    <t>Xylophacos missouriensis</t>
  </si>
  <si>
    <t>Athyrium filix-femina</t>
  </si>
  <si>
    <t>common ladyfern</t>
  </si>
  <si>
    <t>Athyrium filix-femina ssp. angustum</t>
  </si>
  <si>
    <t>subarctic ladyfern</t>
  </si>
  <si>
    <t>Athyrium angustum</t>
  </si>
  <si>
    <t>Athyrium angustum var. rubellum</t>
  </si>
  <si>
    <t>Athyrium angustum var. subtripinnatum</t>
  </si>
  <si>
    <t>Athyrium filix-femina var. angustum</t>
  </si>
  <si>
    <t>Athyrium filix-femina var. michauxii</t>
  </si>
  <si>
    <t>Athyrium filix-femina var. rubellum</t>
  </si>
  <si>
    <t>Atriplex prostrata</t>
  </si>
  <si>
    <t>triangle orache</t>
  </si>
  <si>
    <t>Atriplex hastata</t>
  </si>
  <si>
    <t>Atriplex latifolia</t>
  </si>
  <si>
    <t>Atriplex patula ssp. hastata</t>
  </si>
  <si>
    <t>Atriplex patula var. hastata</t>
  </si>
  <si>
    <t>Atriplex patula var. triangularis</t>
  </si>
  <si>
    <t>Atriplex prostrata var. triangularis</t>
  </si>
  <si>
    <t>Atriplex triangularis</t>
  </si>
  <si>
    <t>Aureolaria grandiflora</t>
  </si>
  <si>
    <t>largeflower yellow false foxglove</t>
  </si>
  <si>
    <t>Aureolaria grandiflora var. pulchra</t>
  </si>
  <si>
    <t>Aureolaria grandiflora ssp. pulchra</t>
  </si>
  <si>
    <t>Gerardia grandiflora var. pulchra</t>
  </si>
  <si>
    <t>Aureolaria pedicularia</t>
  </si>
  <si>
    <t>fernleaf yellow false foxglove</t>
  </si>
  <si>
    <t>Aureolaria pedicularia var. ambigens</t>
  </si>
  <si>
    <t>Agalinis pedicularia var. ambigens</t>
  </si>
  <si>
    <t>Aureolaria pedicularia ssp. ambigens</t>
  </si>
  <si>
    <t>Gerardia pedicularia var. ambigens</t>
  </si>
  <si>
    <t>Azolla mexicana</t>
  </si>
  <si>
    <t>Mexican mosquitofern</t>
  </si>
  <si>
    <t>Bacopa rotundifolia</t>
  </si>
  <si>
    <t>disk waterhyssop</t>
  </si>
  <si>
    <t>Bacopa nobsiana</t>
  </si>
  <si>
    <t>Bacopa simulans</t>
  </si>
  <si>
    <t>Bramia rotundifolia</t>
  </si>
  <si>
    <t>Hydranthelium rotundifolium</t>
  </si>
  <si>
    <t>Macuillamia rotundifolia</t>
  </si>
  <si>
    <t>white wild indigo</t>
  </si>
  <si>
    <t>Baptisia alba var. macrophylla</t>
  </si>
  <si>
    <t>largeleaf wild indigo</t>
  </si>
  <si>
    <t>Baptisia lactea</t>
  </si>
  <si>
    <t>Baptisia leucantha</t>
  </si>
  <si>
    <t>Baptisia leucantha var. divaricata</t>
  </si>
  <si>
    <t>Baptisia leucantha var. pauciflora</t>
  </si>
  <si>
    <t>Baptisia pendula var. macrophylla</t>
  </si>
  <si>
    <t>blue wild indigo</t>
  </si>
  <si>
    <t>Baptisia australis var. minor</t>
  </si>
  <si>
    <t>Baptisia minor</t>
  </si>
  <si>
    <t>Baptisia texana</t>
  </si>
  <si>
    <t>Baptisia vespertina</t>
  </si>
  <si>
    <t>longbract wild indigo</t>
  </si>
  <si>
    <t>Baptisia bracteata var. leucophaea</t>
  </si>
  <si>
    <t>Baptisia bracteata var. glabrescens</t>
  </si>
  <si>
    <t>Baptisia leucophaea</t>
  </si>
  <si>
    <t>Baptisia leucophaea var. glabrescens</t>
  </si>
  <si>
    <t>horseflyweed</t>
  </si>
  <si>
    <t>Baptisia gibbesii</t>
  </si>
  <si>
    <t>Baptisia tinctoria var. crebra</t>
  </si>
  <si>
    <t>Baptisia tinctoria var. projecta</t>
  </si>
  <si>
    <t>Berula erecta</t>
  </si>
  <si>
    <t>cutleaf waterparsnip</t>
  </si>
  <si>
    <t>Berula erecta var. incisa</t>
  </si>
  <si>
    <t>Berula incisa</t>
  </si>
  <si>
    <t>Berula pusilla</t>
  </si>
  <si>
    <t>Siella erecta</t>
  </si>
  <si>
    <t>Besseya bullii</t>
  </si>
  <si>
    <t>Bull's coraldrops</t>
  </si>
  <si>
    <t>Synthyris bullii</t>
  </si>
  <si>
    <t>Wulfenia bullii</t>
  </si>
  <si>
    <t>bearded beggarticks</t>
  </si>
  <si>
    <t>Bidens aristosa var. fritcheyi</t>
  </si>
  <si>
    <t>Bidens aristosa var. mutica</t>
  </si>
  <si>
    <t>Bidens aristosa var. retrorsa</t>
  </si>
  <si>
    <t>Bidens involucrata</t>
  </si>
  <si>
    <t>Bidens polylepis</t>
  </si>
  <si>
    <t>Bidens polylepis var. retrorsa</t>
  </si>
  <si>
    <t>Bidens beckii</t>
  </si>
  <si>
    <t>Beck's water-marigold</t>
  </si>
  <si>
    <t>Megalodonta beckii</t>
  </si>
  <si>
    <t>Megalodonta beckii var. beckii</t>
  </si>
  <si>
    <t>Megalodonta beckii var. hendersonii</t>
  </si>
  <si>
    <t>Megalodonta beckii var. oregonensis</t>
  </si>
  <si>
    <t>Bidens bipinnata</t>
  </si>
  <si>
    <t>Spanish needles</t>
  </si>
  <si>
    <t>Bidens bipinnata var. biternatoides</t>
  </si>
  <si>
    <t>nodding beggartick</t>
  </si>
  <si>
    <t>Bidens cernua var. cernua</t>
  </si>
  <si>
    <t>Bidens cernua var. dentata</t>
  </si>
  <si>
    <t>Bidens cernua var. elliptica</t>
  </si>
  <si>
    <t>Bidens cernua var. integra</t>
  </si>
  <si>
    <t>Bidens cernua var. minima</t>
  </si>
  <si>
    <t>Bidens cernua var. oligodonta</t>
  </si>
  <si>
    <t>Bidens cernua var. radiata</t>
  </si>
  <si>
    <t>Bidens glaucescens</t>
  </si>
  <si>
    <t>purplestem beggarticks</t>
  </si>
  <si>
    <t>Bidens connata var. ambiversa</t>
  </si>
  <si>
    <t>Bidens connata var. anomala</t>
  </si>
  <si>
    <t>Bidens connata var. fallax</t>
  </si>
  <si>
    <t>Bidens connata var. gracilipes</t>
  </si>
  <si>
    <t>Bidens connata var. inundata</t>
  </si>
  <si>
    <t>Bidens connata var. petiolata</t>
  </si>
  <si>
    <t>Bidens connata var. pinnata</t>
  </si>
  <si>
    <t>Bidens connata var. submutica</t>
  </si>
  <si>
    <t>Bidens coronata</t>
  </si>
  <si>
    <t>crowned beggarticks</t>
  </si>
  <si>
    <t>Bidens coronata var. brachyodonta</t>
  </si>
  <si>
    <t>Bidens coronata var. tenuiloba</t>
  </si>
  <si>
    <t>Bidens coronata var. trichosperma</t>
  </si>
  <si>
    <t>Bidens trichosperma</t>
  </si>
  <si>
    <t>Bidens discoidea</t>
  </si>
  <si>
    <t>small beggarticks</t>
  </si>
  <si>
    <t>devil's beggartick</t>
  </si>
  <si>
    <t>Bidens frondosa var. anomala</t>
  </si>
  <si>
    <t>Bidens frondosa var. caudata</t>
  </si>
  <si>
    <t>Bidens frondosa var. pallida</t>
  </si>
  <si>
    <t>Bidens frondosa var. stenodonta</t>
  </si>
  <si>
    <t>Bidens tripartita</t>
  </si>
  <si>
    <t>threelobe beggarticks</t>
  </si>
  <si>
    <t>Bidens acuta</t>
  </si>
  <si>
    <t>Bidens comosa</t>
  </si>
  <si>
    <t>Bidens vulgata</t>
  </si>
  <si>
    <t>big devils beggartick</t>
  </si>
  <si>
    <t>Bidens frondosa var. puberula</t>
  </si>
  <si>
    <t>Bidens puberula</t>
  </si>
  <si>
    <t>Bidens vulgata var. puberula</t>
  </si>
  <si>
    <t>Bidens vulgata var. schizantha</t>
  </si>
  <si>
    <t>Blephilia ciliata</t>
  </si>
  <si>
    <t>downy pagoda-plant</t>
  </si>
  <si>
    <t>hairy pagoda-plant</t>
  </si>
  <si>
    <t>Blephilia hirsuta var. hirsuta</t>
  </si>
  <si>
    <t>Boehmeria cylindrica</t>
  </si>
  <si>
    <t>smallspike false nettle</t>
  </si>
  <si>
    <t>Boehmeria austrina</t>
  </si>
  <si>
    <t>Boehmeria cylindrica var. drummondiana</t>
  </si>
  <si>
    <t>Boehmeria cylindrica var. scabra</t>
  </si>
  <si>
    <t>Boehmeria decurrens</t>
  </si>
  <si>
    <t>Boehmeria drummondiana</t>
  </si>
  <si>
    <t>Boehmeria scabra</t>
  </si>
  <si>
    <t>Urtica cylindrica</t>
  </si>
  <si>
    <t>white doll's daisy</t>
  </si>
  <si>
    <t>Boltonia asteroides var. latisquama</t>
  </si>
  <si>
    <t>Boltonia latisquama</t>
  </si>
  <si>
    <t>Boltonia asteroides var. recognita</t>
  </si>
  <si>
    <t>Boltonia latisquama var. microcephala</t>
  </si>
  <si>
    <t>Boltonia latisquama var. occidentalis</t>
  </si>
  <si>
    <t>Boltonia latisquama var. recognita</t>
  </si>
  <si>
    <t>Boltonia recognita</t>
  </si>
  <si>
    <t>Boltonia decurrens</t>
  </si>
  <si>
    <t>claspingleaf doll's daisy</t>
  </si>
  <si>
    <t>Boltonia asteroides var. decurrens</t>
  </si>
  <si>
    <t>Boltonia latisquama var. decurrens</t>
  </si>
  <si>
    <t>Botrychium campestre</t>
  </si>
  <si>
    <t>Iowa moonwort</t>
  </si>
  <si>
    <t>Botrychium dissectum</t>
  </si>
  <si>
    <t>cutleaf grapefern</t>
  </si>
  <si>
    <t>Botrychium dissectum var. obliquum</t>
  </si>
  <si>
    <t>Botrychium dissectum var. oblongifolium</t>
  </si>
  <si>
    <t>Botrychium obliquum</t>
  </si>
  <si>
    <t>Botrychium obliquum var. elongatum</t>
  </si>
  <si>
    <t>Botrychium matricariifolium</t>
  </si>
  <si>
    <t>matricary grapefern</t>
  </si>
  <si>
    <t>Botrychium multifidum</t>
  </si>
  <si>
    <t>leathery grapefern</t>
  </si>
  <si>
    <t>Botrychium californicum</t>
  </si>
  <si>
    <t>Botrychium coulteri</t>
  </si>
  <si>
    <t>Botrychium matricariae</t>
  </si>
  <si>
    <t>Botrychium multifidum ssp. californicum</t>
  </si>
  <si>
    <t>Botrychium multifidum ssp. coulteri</t>
  </si>
  <si>
    <t>Botrychium multifidum ssp. silaifolium</t>
  </si>
  <si>
    <t>Botrychium multifidum var. californicum</t>
  </si>
  <si>
    <t>Botrychium multifidum var. coulteri</t>
  </si>
  <si>
    <t>Botrychium multifidum var. intermedium</t>
  </si>
  <si>
    <t>Botrychium multifidum var. silaifolium</t>
  </si>
  <si>
    <t>Botrychium silaifolium</t>
  </si>
  <si>
    <t>Botrychium silaifolium var. coulteri</t>
  </si>
  <si>
    <t>Botrychium simplex</t>
  </si>
  <si>
    <t>little grapefern</t>
  </si>
  <si>
    <t>Botrychium simplex ssp. simplex</t>
  </si>
  <si>
    <t>Botrychium simplex ssp. typicum</t>
  </si>
  <si>
    <t>Botrychium simplex var. compositum</t>
  </si>
  <si>
    <t>Botrychium simplex var. laxifolium</t>
  </si>
  <si>
    <t>Botrychium simplex var. tenebrosum</t>
  </si>
  <si>
    <t>Botrychium tenebrosum</t>
  </si>
  <si>
    <t>Botrychium virginianum</t>
  </si>
  <si>
    <t>rattlesnake fern</t>
  </si>
  <si>
    <t>Botrychium virginianum ssp. europaeum</t>
  </si>
  <si>
    <t>Botrychium virginianum var. europaeum</t>
  </si>
  <si>
    <t>Brasenia schreberi</t>
  </si>
  <si>
    <t>watershield</t>
  </si>
  <si>
    <t>Brasenia peltata</t>
  </si>
  <si>
    <t>false boneset</t>
  </si>
  <si>
    <t>Brickellia eupatorioides var. corymbulosa</t>
  </si>
  <si>
    <t>Kuhnia eupatorioides var. corymbulosa</t>
  </si>
  <si>
    <t>Kuhnia hitchcockii</t>
  </si>
  <si>
    <t>Calla palustris</t>
  </si>
  <si>
    <t>water arum</t>
  </si>
  <si>
    <t>Callirhoe alcaeoides</t>
  </si>
  <si>
    <t>light poppymallow</t>
  </si>
  <si>
    <t>Sida alcaeoides</t>
  </si>
  <si>
    <t>Callirhoe bushii</t>
  </si>
  <si>
    <t>Bush's poppymallow</t>
  </si>
  <si>
    <t>Callirhoe involucrata var. bushii</t>
  </si>
  <si>
    <t>Callirhoe papaver var. bushii</t>
  </si>
  <si>
    <t>purple poppymallow</t>
  </si>
  <si>
    <t>Callirhoe involucrata var. involucrata</t>
  </si>
  <si>
    <t>Callirhoe involucrata var. novomexicana</t>
  </si>
  <si>
    <t>Callirhoe triangulata</t>
  </si>
  <si>
    <t>clustered poppymallow</t>
  </si>
  <si>
    <t>Callitriche heterophylla</t>
  </si>
  <si>
    <t>twoheaded water-starwort</t>
  </si>
  <si>
    <t>Callitriche heterophylla ssp. heterophylla</t>
  </si>
  <si>
    <t>Callitriche anceps</t>
  </si>
  <si>
    <t>Callitriche heterophylla var. heterophylla</t>
  </si>
  <si>
    <t>Callitriche palustris</t>
  </si>
  <si>
    <t>vernal water-starwort</t>
  </si>
  <si>
    <t>Callitriche palustris var. verna</t>
  </si>
  <si>
    <t>Callitriche verna</t>
  </si>
  <si>
    <t>Calopogon tuberosus</t>
  </si>
  <si>
    <t>tuberous grasspink</t>
  </si>
  <si>
    <t>Calopogon tuberosus var. tuberosus</t>
  </si>
  <si>
    <t>Calopogon pulchellus</t>
  </si>
  <si>
    <t>Calopogon pulchellus var. latifolius</t>
  </si>
  <si>
    <t>Calopogon tuberosus var. latifolius</t>
  </si>
  <si>
    <t>Limodorum tuberosum</t>
  </si>
  <si>
    <t>Caltha palustris</t>
  </si>
  <si>
    <t>yellow marsh marigold</t>
  </si>
  <si>
    <t>Caltha palustris var. palustris</t>
  </si>
  <si>
    <t>Caltha asarifolia</t>
  </si>
  <si>
    <t>Caltha natans var. asarifolia</t>
  </si>
  <si>
    <t>Caltha palustris ssp. asarifolia</t>
  </si>
  <si>
    <t>Caltha palustris var. asarifolia</t>
  </si>
  <si>
    <t>Caltha palustris var. flabellifolia</t>
  </si>
  <si>
    <t>Calylophus serrulatus</t>
  </si>
  <si>
    <t>yellow sundrops</t>
  </si>
  <si>
    <t>Calylophus australis</t>
  </si>
  <si>
    <t>Meriolix intermedia</t>
  </si>
  <si>
    <t>Meriolix oblanceolata</t>
  </si>
  <si>
    <t>Meriolix serrulata</t>
  </si>
  <si>
    <t>Oenothera serrulata</t>
  </si>
  <si>
    <t>Oenothera serrulata var. typica</t>
  </si>
  <si>
    <t>Calystegia macounii</t>
  </si>
  <si>
    <t>Macoun's false bindweed</t>
  </si>
  <si>
    <t>Convolvulus interior</t>
  </si>
  <si>
    <t>Calystegia sepium</t>
  </si>
  <si>
    <t>hedge false bindweed</t>
  </si>
  <si>
    <t>Calystegia sepium ssp. americana</t>
  </si>
  <si>
    <t>Calystegia inflata</t>
  </si>
  <si>
    <t>Calystegia sepium var. americana</t>
  </si>
  <si>
    <t>Convolvulus americanus</t>
  </si>
  <si>
    <t>Convolvulus sepium var. americanus</t>
  </si>
  <si>
    <t>Calystegia sepium ssp. angulata</t>
  </si>
  <si>
    <t>Calystegia sepium var. angulata</t>
  </si>
  <si>
    <t>Calystegia sepium var. repens</t>
  </si>
  <si>
    <t>Convolvulus repens</t>
  </si>
  <si>
    <t>Convolvulus sepium var. repens</t>
  </si>
  <si>
    <t>Calystegia silvatica</t>
  </si>
  <si>
    <t>shortstalk false bindweed</t>
  </si>
  <si>
    <t>Calystegia silvatica ssp. fraterniflora</t>
  </si>
  <si>
    <t>Calystegia fraterniflora</t>
  </si>
  <si>
    <t>Calystegia sepium var. fraterniflora</t>
  </si>
  <si>
    <t>Convolvulus fraterniflorus</t>
  </si>
  <si>
    <t>Convolvulus sepium var. fraterniflorus</t>
  </si>
  <si>
    <t>Calystegia spithamaea</t>
  </si>
  <si>
    <t>low false bindweed</t>
  </si>
  <si>
    <t>Calystegia spithamaea ssp. spithamaea</t>
  </si>
  <si>
    <t>Convolvulus spithamaeus</t>
  </si>
  <si>
    <t>Calystegia spithamaea ssp. stans</t>
  </si>
  <si>
    <t>Camassia angusta</t>
  </si>
  <si>
    <t>prairie camas</t>
  </si>
  <si>
    <t>Camassia scilloides</t>
  </si>
  <si>
    <t>Atlantic camas</t>
  </si>
  <si>
    <t>Camassia esculenta</t>
  </si>
  <si>
    <t>Quamasia hyacinthina</t>
  </si>
  <si>
    <t>Campanula aparinoides</t>
  </si>
  <si>
    <t>marsh bellflower</t>
  </si>
  <si>
    <t>Campanula aparinoides var. grandiflora</t>
  </si>
  <si>
    <t>Campanula aparinoides var. uliginosa</t>
  </si>
  <si>
    <t>Campanula uliginosa</t>
  </si>
  <si>
    <t>Campanula rotundifolia</t>
  </si>
  <si>
    <t>bluebell bellflower</t>
  </si>
  <si>
    <t>Campanula alaskana</t>
  </si>
  <si>
    <t>Campanula dubia</t>
  </si>
  <si>
    <t>Campanula gieseckiana</t>
  </si>
  <si>
    <t>Campanula gieseckiana ssp. groenlandica</t>
  </si>
  <si>
    <t>Campanula gieseckiana var. arctica</t>
  </si>
  <si>
    <t>Campanula groenlandica</t>
  </si>
  <si>
    <t>Campanula heterodoxa</t>
  </si>
  <si>
    <t>Campanula intercedens</t>
  </si>
  <si>
    <t>Campanula petiolata</t>
  </si>
  <si>
    <t>Campanula rotundifolia ssp. groenlandica</t>
  </si>
  <si>
    <t>Campanula rotundifolia ssp. intercedens</t>
  </si>
  <si>
    <t>Campanula rotundifolia var. alaskana</t>
  </si>
  <si>
    <t>Campanula rotundifolia var. alpina</t>
  </si>
  <si>
    <t>Campanula rotundifolia var. arctica</t>
  </si>
  <si>
    <t>Campanula rotundifolia var. intercedens</t>
  </si>
  <si>
    <t>Campanula rotundifolia var. lancifolia</t>
  </si>
  <si>
    <t>Campanula rotundifolia var. petiolata</t>
  </si>
  <si>
    <t>Campanula rotundifolia var. velutina</t>
  </si>
  <si>
    <t>Campanula sacajaweana</t>
  </si>
  <si>
    <t>Campanulastrum americanum</t>
  </si>
  <si>
    <t>American bellflower</t>
  </si>
  <si>
    <t>Campanula americana</t>
  </si>
  <si>
    <t>Campanula americana var. illinoensis</t>
  </si>
  <si>
    <t>Cardamine bulbosa</t>
  </si>
  <si>
    <t>bulbous bittercress</t>
  </si>
  <si>
    <t>Arabis bulbosa</t>
  </si>
  <si>
    <t>Arabis rhomboidea</t>
  </si>
  <si>
    <t>Cardamine rhomboidea</t>
  </si>
  <si>
    <t>Cardamine concatenata</t>
  </si>
  <si>
    <t>cutleaf toothwort</t>
  </si>
  <si>
    <t>Cardamine laciniata</t>
  </si>
  <si>
    <t>Dentaria concatenata</t>
  </si>
  <si>
    <t>Dentaria concatenata var. coalescens</t>
  </si>
  <si>
    <t>Dentaria laciniata</t>
  </si>
  <si>
    <t>Dentaria laciniata var. integra</t>
  </si>
  <si>
    <t>Cardamine douglassii</t>
  </si>
  <si>
    <t>limestone bittercress</t>
  </si>
  <si>
    <t>Cardamine parviflora</t>
  </si>
  <si>
    <t>sand bittercress</t>
  </si>
  <si>
    <t>Cardamine parviflora var. arenicola</t>
  </si>
  <si>
    <t>Cardamine arenicola</t>
  </si>
  <si>
    <t>Cardamine pensylvanica</t>
  </si>
  <si>
    <t>Pennsylvania bittercress</t>
  </si>
  <si>
    <t>Cardamine pensylvanica var. brittoniana</t>
  </si>
  <si>
    <t>Castilleja coccinea</t>
  </si>
  <si>
    <t>scarlet Indian paintbrush</t>
  </si>
  <si>
    <t>Castilleja ludoviciana</t>
  </si>
  <si>
    <t>Castilleja sessiliflora</t>
  </si>
  <si>
    <t>downy paintedcup</t>
  </si>
  <si>
    <t>Caulophyllum thalictroides</t>
  </si>
  <si>
    <t>blue cohosh</t>
  </si>
  <si>
    <t>Centaurea americana</t>
  </si>
  <si>
    <t>American star-thistle</t>
  </si>
  <si>
    <t>Cerastium arvense</t>
  </si>
  <si>
    <t>field chickweed</t>
  </si>
  <si>
    <t>Cerastium arvense ssp. strictum</t>
  </si>
  <si>
    <t>Cerastium alsophilum</t>
  </si>
  <si>
    <t>Cerastium angustatum</t>
  </si>
  <si>
    <t>Cerastium arvense var. angustifolium</t>
  </si>
  <si>
    <t>Cerastium arvense var. latifolium</t>
  </si>
  <si>
    <t>Cerastium arvense var. purpurascens</t>
  </si>
  <si>
    <t>Cerastium arvense var. viscidulum</t>
  </si>
  <si>
    <t>Cerastium campestre</t>
  </si>
  <si>
    <t>Cerastium confertum</t>
  </si>
  <si>
    <t>Cerastium effusum</t>
  </si>
  <si>
    <t>Cerastium elongatum</t>
  </si>
  <si>
    <t>Cerastium graminifolium</t>
  </si>
  <si>
    <t>Cerastium latifolium</t>
  </si>
  <si>
    <t>Cerastium nitidum</t>
  </si>
  <si>
    <t>Cerastium occidentale</t>
  </si>
  <si>
    <t>Cerastium oreophilum</t>
  </si>
  <si>
    <t>Cerastium patulum</t>
  </si>
  <si>
    <t>Cerastium scopulorum</t>
  </si>
  <si>
    <t>Cerastium sonnei</t>
  </si>
  <si>
    <t>Cerastium strictum</t>
  </si>
  <si>
    <t>Cerastium subulatum</t>
  </si>
  <si>
    <t>Cerastium tenuifolium</t>
  </si>
  <si>
    <t>Cerastium vestitum</t>
  </si>
  <si>
    <t>Cerastium arvense ssp. velutinum</t>
  </si>
  <si>
    <t>Cerastium arvense ssp. velutinum var. velutinum</t>
  </si>
  <si>
    <t>Cerastium arvense var. bracteatum</t>
  </si>
  <si>
    <t>Cerastium arvense var. oblongifolium</t>
  </si>
  <si>
    <t>Cerastium arvense var. webbii</t>
  </si>
  <si>
    <t>Cerastium bracteatum</t>
  </si>
  <si>
    <t>Cerastium oblongifolium</t>
  </si>
  <si>
    <t>Cerastium velutinum</t>
  </si>
  <si>
    <t>Cerastium brachypodum</t>
  </si>
  <si>
    <t>shortstalk chickweed</t>
  </si>
  <si>
    <t>Cerastium brachypodum var. compactum</t>
  </si>
  <si>
    <t>Cerastium nutans var. brachypodum</t>
  </si>
  <si>
    <t>Cerastium nutans</t>
  </si>
  <si>
    <t>nodding chickweed</t>
  </si>
  <si>
    <t>Cerastium nutans var. nutans</t>
  </si>
  <si>
    <t>Cerastium longepedunculatum</t>
  </si>
  <si>
    <t>Cerastium nutans var. occidentale</t>
  </si>
  <si>
    <t>Ceratophyllum demersum</t>
  </si>
  <si>
    <t>coon's tail</t>
  </si>
  <si>
    <t>Ceratophyllum apiculatum</t>
  </si>
  <si>
    <t>Ceratophyllum demersum var. apiculatum</t>
  </si>
  <si>
    <t>Chaerophyllum procumbens</t>
  </si>
  <si>
    <t>spreading chervil</t>
  </si>
  <si>
    <t>Chaerophyllum procumbens var. procumbens</t>
  </si>
  <si>
    <t>partridge pea</t>
  </si>
  <si>
    <t>Chamaecrista fasciculata var. fasciculata</t>
  </si>
  <si>
    <t>Cassia brachiata</t>
  </si>
  <si>
    <t>Cassia chamaecrista</t>
  </si>
  <si>
    <t>Cassia fasciculata</t>
  </si>
  <si>
    <t>Cassia fasciculata var. brachiata</t>
  </si>
  <si>
    <t>Cassia fasciculata var. depressa</t>
  </si>
  <si>
    <t>Cassia fasciculata var. ferrisiae</t>
  </si>
  <si>
    <t>Cassia fasciculata var. puberula</t>
  </si>
  <si>
    <t>Cassia fasciculata var. robusta</t>
  </si>
  <si>
    <t>Cassia fasciculata var. rostrata</t>
  </si>
  <si>
    <t>Cassia fasciculata var. tracyi</t>
  </si>
  <si>
    <t>Cassia mississippiensis</t>
  </si>
  <si>
    <t>Cassia robusta</t>
  </si>
  <si>
    <t>Cassia rostrata</t>
  </si>
  <si>
    <t>Chamaecrista brachiata</t>
  </si>
  <si>
    <t>Chamaecrista depressa</t>
  </si>
  <si>
    <t>Chamaecrista fasciculata var. brachiata</t>
  </si>
  <si>
    <t>Chamaecrista littoralis</t>
  </si>
  <si>
    <t>Chamaecrista mississippiensis</t>
  </si>
  <si>
    <t>Chamaecrista robusta</t>
  </si>
  <si>
    <t>Chamaecrista rostrata</t>
  </si>
  <si>
    <t>Chamaecrista tracyi</t>
  </si>
  <si>
    <t>Chamaesyce geyeri</t>
  </si>
  <si>
    <t>Geyer's sandmat</t>
  </si>
  <si>
    <t>Chamaesyce geyeri var. geyeri</t>
  </si>
  <si>
    <t>Euphorbia geyeri</t>
  </si>
  <si>
    <t>Chamaesyce glyptosperma</t>
  </si>
  <si>
    <t>ribseed sandmat</t>
  </si>
  <si>
    <t>Euphorbia glyptosperma</t>
  </si>
  <si>
    <t>Chamaesyce maculata</t>
  </si>
  <si>
    <t>spotted sandmat</t>
  </si>
  <si>
    <t>Chamaesyce mathewsii</t>
  </si>
  <si>
    <t>Chamaesyce supina</t>
  </si>
  <si>
    <t>Chamaesyce tracyi</t>
  </si>
  <si>
    <t>Euphorbia maculata</t>
  </si>
  <si>
    <t>Euphorbia supina</t>
  </si>
  <si>
    <t>Chamaesyce missurica</t>
  </si>
  <si>
    <t>prairie sandmat</t>
  </si>
  <si>
    <t>Chamaesyce missurica var. calcicola</t>
  </si>
  <si>
    <t>Chamaesyce missurica var. petaloidea</t>
  </si>
  <si>
    <t>Chamaesyce nuttallii</t>
  </si>
  <si>
    <t>Chamaesyce petaloidea</t>
  </si>
  <si>
    <t>Chamaesyce zygophylloides</t>
  </si>
  <si>
    <t>Euphorbia missurica</t>
  </si>
  <si>
    <t>Euphorbia missurica var. intermedia</t>
  </si>
  <si>
    <t>Euphorbia missurica var. petaloidea</t>
  </si>
  <si>
    <t>Euphorbia nuttallii</t>
  </si>
  <si>
    <t>Euphorbia petaloidea</t>
  </si>
  <si>
    <t>Chamaesyce nutans</t>
  </si>
  <si>
    <t>eyebane</t>
  </si>
  <si>
    <t>Chamaesyce preslii</t>
  </si>
  <si>
    <t>Euphorbia nutans</t>
  </si>
  <si>
    <t>Euphorbia preslii</t>
  </si>
  <si>
    <t>Chamaesyce prostrata</t>
  </si>
  <si>
    <t>prostrate sandmat</t>
  </si>
  <si>
    <t>Euphorbia chamaesyce</t>
  </si>
  <si>
    <t>Euphorbia prostrata</t>
  </si>
  <si>
    <t>Chamaesyce serpens</t>
  </si>
  <si>
    <t>matted sandmat</t>
  </si>
  <si>
    <t>Euphorbia serpens</t>
  </si>
  <si>
    <t>Chamaesyce serpyllifolia</t>
  </si>
  <si>
    <t>thymeleaf sandmat</t>
  </si>
  <si>
    <t>Chamaesyce serpyllifolia ssp. serpyllifolia</t>
  </si>
  <si>
    <t>Chamaesyce albicaulis</t>
  </si>
  <si>
    <t>Chamaesyce neomexicana</t>
  </si>
  <si>
    <t>Euphorbia neomexicana</t>
  </si>
  <si>
    <t>Euphorbia serpyllifolia</t>
  </si>
  <si>
    <t>Chamaesyce stictospora</t>
  </si>
  <si>
    <t>slimseed sandmat</t>
  </si>
  <si>
    <t>Euphorbia stictospora</t>
  </si>
  <si>
    <t>Chamerion angustifolium</t>
  </si>
  <si>
    <t>fireweed</t>
  </si>
  <si>
    <t>Chamerion angustifolium ssp. circumvagum</t>
  </si>
  <si>
    <t>Chamaenerion angustifolium ssp. circumvagum</t>
  </si>
  <si>
    <t>Chamerion angustifolium var. canescens</t>
  </si>
  <si>
    <t>Chamerion danielsii</t>
  </si>
  <si>
    <t>Chamerion platyphyllum</t>
  </si>
  <si>
    <t>Epilobium angustifolium ssp. circumvagum</t>
  </si>
  <si>
    <t>Epilobium angustifolium ssp. macrophyllum</t>
  </si>
  <si>
    <t>Epilobium angustifolium var. abbreviatum</t>
  </si>
  <si>
    <t>Epilobium angustifolium var. canescens</t>
  </si>
  <si>
    <t>Epilobium angustifolium var. macrophyllum</t>
  </si>
  <si>
    <t>Epilobium angustifolium var. platyphyllum</t>
  </si>
  <si>
    <t>Cheilanthes feei</t>
  </si>
  <si>
    <t>slender lipfern</t>
  </si>
  <si>
    <t>Chelone glabra</t>
  </si>
  <si>
    <t>white turtlehead</t>
  </si>
  <si>
    <t>Chelone chlorantha</t>
  </si>
  <si>
    <t>Chelone glabra var. chlorantha</t>
  </si>
  <si>
    <t>Chelone glabra var. dilatata</t>
  </si>
  <si>
    <t>Chelone glabra var. elatior</t>
  </si>
  <si>
    <t>Chelone glabra var. elongata</t>
  </si>
  <si>
    <t>Chelone glabra var. linifolia</t>
  </si>
  <si>
    <t>Chelone glabra var. ochroleuca</t>
  </si>
  <si>
    <t>Chelone glabra var. typica</t>
  </si>
  <si>
    <t>Chelone montana</t>
  </si>
  <si>
    <t>Chelone obliqua</t>
  </si>
  <si>
    <t>red turtlehead</t>
  </si>
  <si>
    <t>Chelone obliqua var. speciosa</t>
  </si>
  <si>
    <t>Chenopodium album</t>
  </si>
  <si>
    <t>lambsquarters</t>
  </si>
  <si>
    <t>Chenopodium album var. missouriense</t>
  </si>
  <si>
    <t>Missouri lambsquarters</t>
  </si>
  <si>
    <t>Chenopodium missouriense</t>
  </si>
  <si>
    <t>Chenopodium missouriense var. bushianum</t>
  </si>
  <si>
    <t>Chenopodium paganum</t>
  </si>
  <si>
    <t>Chenopodium album var. striatum</t>
  </si>
  <si>
    <t>lateflowering goosefoot</t>
  </si>
  <si>
    <t>Chenopodium strictum</t>
  </si>
  <si>
    <t>Chenopodium strictum ssp. glaucophyllum</t>
  </si>
  <si>
    <t>Chenopodium strictum var. glaucophyllum</t>
  </si>
  <si>
    <t>Chenopodium strictum var. striatum</t>
  </si>
  <si>
    <t>Chenopodium berlandieri</t>
  </si>
  <si>
    <t>pitseed goosefoot</t>
  </si>
  <si>
    <t>Chenopodium berlandieri var. berlandieri</t>
  </si>
  <si>
    <t>Chenopodium album var. berlandieri</t>
  </si>
  <si>
    <t>Chenopodium berlandieri var. bushianum</t>
  </si>
  <si>
    <t>Bush's goosefoot</t>
  </si>
  <si>
    <t>Chenopodium bushianum</t>
  </si>
  <si>
    <t>Chenopodium bushianum var. acutidentatum</t>
  </si>
  <si>
    <t>Chenopodium berlandieri var. zschackii</t>
  </si>
  <si>
    <t>Zschack's goosefoot</t>
  </si>
  <si>
    <t>Chenopodium acerifolium</t>
  </si>
  <si>
    <t>Chenopodium berlandieri ssp. platyphyllum</t>
  </si>
  <si>
    <t>Chenopodium berlandieri ssp. zschackii</t>
  </si>
  <si>
    <t>Chenopodium berlandieri var. farinosum</t>
  </si>
  <si>
    <t>Chenopodium capitatum</t>
  </si>
  <si>
    <t>blite goosefoot</t>
  </si>
  <si>
    <t>Blitum capitatum</t>
  </si>
  <si>
    <t>Chenopodium foggii</t>
  </si>
  <si>
    <t>Fogg's goosefoot</t>
  </si>
  <si>
    <t>Chenopodium glaucum</t>
  </si>
  <si>
    <t>oakleaf goosefoot</t>
  </si>
  <si>
    <t>Chenopodium glaucum ssp. euglaucum</t>
  </si>
  <si>
    <t>Chenopodium pratericola</t>
  </si>
  <si>
    <t>desert goosefoot</t>
  </si>
  <si>
    <t>Chenopodium albescens</t>
  </si>
  <si>
    <t>Chenopodium desiccatum var. leptophylloides</t>
  </si>
  <si>
    <t>Chenopodium pratericola ssp. eupratericola</t>
  </si>
  <si>
    <t>Chenopodium pratericola var. leptophylloides</t>
  </si>
  <si>
    <t>Chenopodium rubrum</t>
  </si>
  <si>
    <t>red goosefoot</t>
  </si>
  <si>
    <t>Chenopodium salinum</t>
  </si>
  <si>
    <t>Rocky Mountain goosefoot</t>
  </si>
  <si>
    <t>Chenopodium glaucum ssp. salinum</t>
  </si>
  <si>
    <t>Chenopodium glaucum var. pulchrum</t>
  </si>
  <si>
    <t>Chenopodium glaucum var. salinum</t>
  </si>
  <si>
    <t>Chenopodium simplex</t>
  </si>
  <si>
    <t>mapleleaf goosefoot</t>
  </si>
  <si>
    <t>Chenopodium gigantospermum</t>
  </si>
  <si>
    <t>Chenopodium hybridum</t>
  </si>
  <si>
    <t>Chenopodium hybridum ssp. gigantospermum</t>
  </si>
  <si>
    <t>Chenopodium hybridum var. gigantospermum</t>
  </si>
  <si>
    <t>Chenopodium hybridum var. simplex</t>
  </si>
  <si>
    <t>Chenopodium standleyanum</t>
  </si>
  <si>
    <t>Standley's goosefoot</t>
  </si>
  <si>
    <t>Chenopodium gigantospermum var. standleyanum</t>
  </si>
  <si>
    <t>Chenopodium hybridum var. standleyanum</t>
  </si>
  <si>
    <t>Chrysosplenium alternifolium</t>
  </si>
  <si>
    <t>alternate-leaf golden saxifrage</t>
  </si>
  <si>
    <t>Chrysosplenium alternifolium var. sibiricum</t>
  </si>
  <si>
    <t>Iowa golden saxifrage</t>
  </si>
  <si>
    <t>Chrysosplenium alternifolium ssp. iowense</t>
  </si>
  <si>
    <t>Chrysosplenium alternifolium var. iowense</t>
  </si>
  <si>
    <t>Chrysosplenium iowense</t>
  </si>
  <si>
    <t>Chrysosplenium americanum</t>
  </si>
  <si>
    <t>American golden saxifrage</t>
  </si>
  <si>
    <t>Cicuta bulbifera</t>
  </si>
  <si>
    <t>bulblet-bearing water hemlock</t>
  </si>
  <si>
    <t>Cicuta maculata</t>
  </si>
  <si>
    <t>spotted water hemlock</t>
  </si>
  <si>
    <t>Cicuta maculata var. angustifolia</t>
  </si>
  <si>
    <t>Cicuta occidentalis</t>
  </si>
  <si>
    <t>Cicuta maculata var. bolanderi</t>
  </si>
  <si>
    <t>Cicuta bolanderi</t>
  </si>
  <si>
    <t>Cicuta maculata var. maculata</t>
  </si>
  <si>
    <t>Cicuta curtissii</t>
  </si>
  <si>
    <t>Cicuta maculata var. curtissii</t>
  </si>
  <si>
    <t>Cicuta mexicana</t>
  </si>
  <si>
    <t>Circaea alpina</t>
  </si>
  <si>
    <t>small enchanter's nightshade</t>
  </si>
  <si>
    <t>Circaea alpina ssp. alpina</t>
  </si>
  <si>
    <t>Circaea ×intermedia</t>
  </si>
  <si>
    <t>Circaea canadensis</t>
  </si>
  <si>
    <t>Circaea lutetiana</t>
  </si>
  <si>
    <t>broadleaf enchanter's nightshade</t>
  </si>
  <si>
    <t>Circaea lutetiana ssp. canadensis</t>
  </si>
  <si>
    <t>Circaea canadensis var. virginiana</t>
  </si>
  <si>
    <t>Circaea latifolia</t>
  </si>
  <si>
    <t>Circaea lutetiana var. canadensis</t>
  </si>
  <si>
    <t>Circaea quadrisulcata ssp. canadensis</t>
  </si>
  <si>
    <t>Circaea quadrisulcata var. canadensis</t>
  </si>
  <si>
    <t>Cirsium altissimum</t>
  </si>
  <si>
    <t>tall thistle</t>
  </si>
  <si>
    <t>Carduus altissimus</t>
  </si>
  <si>
    <t>Cirsium altissimum var. biltmoreanum</t>
  </si>
  <si>
    <t>Cirsium canescens</t>
  </si>
  <si>
    <t>prairie thistle</t>
  </si>
  <si>
    <t>Carduus undulatus var. canescens</t>
  </si>
  <si>
    <t>Cirsium nebraskense</t>
  </si>
  <si>
    <t>Cirsium nelsonii</t>
  </si>
  <si>
    <t>Cirsium plattense</t>
  </si>
  <si>
    <t>Cirsium discolor</t>
  </si>
  <si>
    <t>field thistle</t>
  </si>
  <si>
    <t>Carduus discolor</t>
  </si>
  <si>
    <t>Cirsium flodmanii</t>
  </si>
  <si>
    <t>Flodman's thistle</t>
  </si>
  <si>
    <t>Cirsium nebraskense var. discissum</t>
  </si>
  <si>
    <t>Cirsium oblanceolatum</t>
  </si>
  <si>
    <t>Cirsium hillii</t>
  </si>
  <si>
    <t>Hill's thistle</t>
  </si>
  <si>
    <t>Cirsium pumilum ssp. hillii</t>
  </si>
  <si>
    <t>Cirsium pumilum var. hillii</t>
  </si>
  <si>
    <t>Cirsium ×iowense</t>
  </si>
  <si>
    <t>Cirsium muticum</t>
  </si>
  <si>
    <t>swamp thistle</t>
  </si>
  <si>
    <t>Carduus muticus</t>
  </si>
  <si>
    <t>Cirsium bigelovii</t>
  </si>
  <si>
    <t>Cirsium muticum var. monticola</t>
  </si>
  <si>
    <t>Cirsium muticum var. subpinnatifidum</t>
  </si>
  <si>
    <t>Cirsium undulatum</t>
  </si>
  <si>
    <t>wavyleaf thistle</t>
  </si>
  <si>
    <t>Cirsium undulatum var. undulatum</t>
  </si>
  <si>
    <t>Carduus helleri</t>
  </si>
  <si>
    <t>Carduus undulatus</t>
  </si>
  <si>
    <t>Cirsium helleri</t>
  </si>
  <si>
    <t>Cirsium megacephalum</t>
  </si>
  <si>
    <t>Cirsium ochrocentrum var. helleri</t>
  </si>
  <si>
    <t>Cirsium undulatum var. megacephalum</t>
  </si>
  <si>
    <t>Cnicus undulatus var. megacephalus</t>
  </si>
  <si>
    <t>Claytonia virginica</t>
  </si>
  <si>
    <t>Virginia springbeauty</t>
  </si>
  <si>
    <t>Claytonia virginica var. virginica</t>
  </si>
  <si>
    <t>Claytonia media</t>
  </si>
  <si>
    <t>Claytonia robusta</t>
  </si>
  <si>
    <t>Cleome hassleriana</t>
  </si>
  <si>
    <t>pink queen</t>
  </si>
  <si>
    <t>Cleome arborea</t>
  </si>
  <si>
    <t>Cleome hasslerana</t>
  </si>
  <si>
    <t>Cleome houtteana</t>
  </si>
  <si>
    <t>Cleome pungens</t>
  </si>
  <si>
    <t>Cleome spinosa</t>
  </si>
  <si>
    <t>Cleome serrulata</t>
  </si>
  <si>
    <t>Rocky Mountain beeplant</t>
  </si>
  <si>
    <t>Cleome serrulata var. angusta</t>
  </si>
  <si>
    <t>Clinopodium vulgare</t>
  </si>
  <si>
    <t>wild basil</t>
  </si>
  <si>
    <t>Calamintha vulgaris</t>
  </si>
  <si>
    <t>Clinopodium vulgare var. neogaea</t>
  </si>
  <si>
    <t>Satureja vulgaris</t>
  </si>
  <si>
    <t>Satureja vulgaris var. diminuta</t>
  </si>
  <si>
    <t>Satureja vulgaris var. neogaea</t>
  </si>
  <si>
    <t>Clitoria mariana</t>
  </si>
  <si>
    <t>Atlantic pigeonwings</t>
  </si>
  <si>
    <t>Martiusia mariana</t>
  </si>
  <si>
    <t>Collinsia verna</t>
  </si>
  <si>
    <t>spring blue eyed Mary</t>
  </si>
  <si>
    <t>Collomia linearis</t>
  </si>
  <si>
    <t>tiny trumpet</t>
  </si>
  <si>
    <t>bastard toadflax</t>
  </si>
  <si>
    <t>Comandra umbellata ssp. umbellata</t>
  </si>
  <si>
    <t>Comandra richardsiana</t>
  </si>
  <si>
    <t>Comarum palustre</t>
  </si>
  <si>
    <t>purple marshlocks</t>
  </si>
  <si>
    <t>Potentilla palustris</t>
  </si>
  <si>
    <t>Potentilla palustris var. parvifolia</t>
  </si>
  <si>
    <t>Potentilla palustris var. villosa</t>
  </si>
  <si>
    <t>Commelina erecta</t>
  </si>
  <si>
    <t>whitemouth dayflower</t>
  </si>
  <si>
    <t>Commelina erecta var. angustifolia</t>
  </si>
  <si>
    <t>Commelina angustifolia</t>
  </si>
  <si>
    <t>Commelina crispa</t>
  </si>
  <si>
    <t>Commelina erecta var. crispa</t>
  </si>
  <si>
    <t>Commelina nashii</t>
  </si>
  <si>
    <t>Commelina erecta var. deamiana</t>
  </si>
  <si>
    <t>Commelina erecta var. greenei</t>
  </si>
  <si>
    <t>Conioselinum chinense</t>
  </si>
  <si>
    <t>Chinese hemlockparsley</t>
  </si>
  <si>
    <t>Conioselinum pumilum</t>
  </si>
  <si>
    <t>Conopholis americana</t>
  </si>
  <si>
    <t>American cancer-root</t>
  </si>
  <si>
    <t>Orobanche americana</t>
  </si>
  <si>
    <t>Conyza canadensis</t>
  </si>
  <si>
    <t>Canadian horseweed</t>
  </si>
  <si>
    <t>Conyza canadensis var. canadensis</t>
  </si>
  <si>
    <t>Erigeron canadensis</t>
  </si>
  <si>
    <t>Leptilon canadense</t>
  </si>
  <si>
    <t>Conyza ramosissima</t>
  </si>
  <si>
    <t>dwarf horseweed</t>
  </si>
  <si>
    <t>Erigeron divaricatus</t>
  </si>
  <si>
    <t>Leptilon divaricatum</t>
  </si>
  <si>
    <t>Corallorhiza maculata</t>
  </si>
  <si>
    <t>summer coralroot</t>
  </si>
  <si>
    <t>Corallorrhiza maculata</t>
  </si>
  <si>
    <t>Corallorhiza maculata var. maculata</t>
  </si>
  <si>
    <t>Corallorhiza maculata var. flavida</t>
  </si>
  <si>
    <t>Corallorhiza multiflora</t>
  </si>
  <si>
    <t>Corallorrhiza maculata var. flavida</t>
  </si>
  <si>
    <t>Corallorrhiza maculata var. maculata</t>
  </si>
  <si>
    <t>Corallorrhiza multiflora</t>
  </si>
  <si>
    <t>Corallorhiza odontorhiza</t>
  </si>
  <si>
    <t>autumn coralroot</t>
  </si>
  <si>
    <t>Corallorrhiza odontorhiza</t>
  </si>
  <si>
    <t>Corallorhiza odontorhiza var. odontorhiza</t>
  </si>
  <si>
    <t>Corallorhiza micrantha</t>
  </si>
  <si>
    <t>Corallorrhiza micrantha</t>
  </si>
  <si>
    <t>Corallorrhiza odontorhiza var. odontorhiza</t>
  </si>
  <si>
    <t>Corallorhiza odontorhiza var. pringlei</t>
  </si>
  <si>
    <t>Corallorrhiza odontorhiza var. pringlei</t>
  </si>
  <si>
    <t>Coreopsis grandiflora</t>
  </si>
  <si>
    <t>largeflower tickseed</t>
  </si>
  <si>
    <t>Coreopsis grandiflora var. harveyana</t>
  </si>
  <si>
    <t>Coreopsis heterolepis</t>
  </si>
  <si>
    <t>Coreopsis lanceolata</t>
  </si>
  <si>
    <t>lanceleaf tickseed</t>
  </si>
  <si>
    <t>Coreopsis crassifolia</t>
  </si>
  <si>
    <t>Coreopsis heterogyna</t>
  </si>
  <si>
    <t>Coreopsis lanceolata var. villosa</t>
  </si>
  <si>
    <t>Coreopsis palmata</t>
  </si>
  <si>
    <t>stiff tickseed</t>
  </si>
  <si>
    <t>Coreopsis tinctoria</t>
  </si>
  <si>
    <t>golden tickseed</t>
  </si>
  <si>
    <t>Coreopsis tinctoria var. tinctoria</t>
  </si>
  <si>
    <t>Coreopsis cardaminefolia</t>
  </si>
  <si>
    <t>Coreopsis stenophylla</t>
  </si>
  <si>
    <t>Coreopsis tinctoria var. imminuta</t>
  </si>
  <si>
    <t>Coreopsis tripteris</t>
  </si>
  <si>
    <t>tall tickseed</t>
  </si>
  <si>
    <t>Coreopsis tripteris var. deamii</t>
  </si>
  <si>
    <t>Coreopsis tripteris var. intercedens</t>
  </si>
  <si>
    <t>Coreopsis tripteris var. smithii</t>
  </si>
  <si>
    <t>Coreopsis tripteris var. subrhomboidea</t>
  </si>
  <si>
    <t>Corispermum americanum</t>
  </si>
  <si>
    <t>American bugseed</t>
  </si>
  <si>
    <t>Corispermum americanum var. americanum</t>
  </si>
  <si>
    <t>Corispermum marginale</t>
  </si>
  <si>
    <t>Corispermum orientale</t>
  </si>
  <si>
    <t>Corispermum simplicissimum</t>
  </si>
  <si>
    <t>Cornus canadensis</t>
  </si>
  <si>
    <t>bunchberry dogwood</t>
  </si>
  <si>
    <t>Chamaepericlymenum canadense</t>
  </si>
  <si>
    <t>Cornella canadensis</t>
  </si>
  <si>
    <t>Cornus canadensis var. dutillyi</t>
  </si>
  <si>
    <t>Corydalis aurea</t>
  </si>
  <si>
    <t>scrambled eggs</t>
  </si>
  <si>
    <t>Capnoides aureum</t>
  </si>
  <si>
    <t>Corydalis washingtoniana</t>
  </si>
  <si>
    <t>Corydalis curvisiliqua</t>
  </si>
  <si>
    <t>curvepod fumewort</t>
  </si>
  <si>
    <t>Corydalis curvisiliqua ssp. grandibracteata</t>
  </si>
  <si>
    <t>Corydalis curvisiliqua var. grandibracteata</t>
  </si>
  <si>
    <t>Corydalis curvisiliqua ssp. occidentalis</t>
  </si>
  <si>
    <t>Capnoides montanum</t>
  </si>
  <si>
    <t>Corydalis aurea ssp. occidentalis</t>
  </si>
  <si>
    <t>Corydalis aurea var. occidentalis</t>
  </si>
  <si>
    <t>Corydalis montana</t>
  </si>
  <si>
    <t>Corydalis flavula</t>
  </si>
  <si>
    <t>yellow fumewort</t>
  </si>
  <si>
    <t>Capnoides flavulum</t>
  </si>
  <si>
    <t>Fumaria flavula</t>
  </si>
  <si>
    <t>Corydalis micrantha</t>
  </si>
  <si>
    <t>smallflower fumewort</t>
  </si>
  <si>
    <t>Corydalis micrantha ssp. micrantha</t>
  </si>
  <si>
    <t>Capnoides micranthum</t>
  </si>
  <si>
    <t>Corydalis aurea var. micrantha</t>
  </si>
  <si>
    <t>Corydalis sempervirens</t>
  </si>
  <si>
    <t>rock harlequin</t>
  </si>
  <si>
    <t>Capnoides sempervirens</t>
  </si>
  <si>
    <t>Crepis runcinata</t>
  </si>
  <si>
    <t>fiddleleaf hawksbeard</t>
  </si>
  <si>
    <t>Crepis runcinata ssp. runcinata</t>
  </si>
  <si>
    <t>Crepis alpicola</t>
  </si>
  <si>
    <t>Crepis glaucella</t>
  </si>
  <si>
    <t>Crepis neomexicana</t>
  </si>
  <si>
    <t>Crepis perplexans</t>
  </si>
  <si>
    <t>Crepis runcinata ssp. typica</t>
  </si>
  <si>
    <t>Psilochenia runcinata</t>
  </si>
  <si>
    <t>Crotalaria sagittalis</t>
  </si>
  <si>
    <t>arrowhead rattlebox</t>
  </si>
  <si>
    <t>Crotalaria pilosa</t>
  </si>
  <si>
    <t>Crotalaria sagittalis var. blumeriana</t>
  </si>
  <si>
    <t>Crotalaria sagittalis var. fruticosa</t>
  </si>
  <si>
    <t>Crotalaria sagittalis var. oblonga</t>
  </si>
  <si>
    <t>Croton capitatus</t>
  </si>
  <si>
    <t>hogwort</t>
  </si>
  <si>
    <t>Croton capitatus var. capitatus</t>
  </si>
  <si>
    <t>Croton glandulosus</t>
  </si>
  <si>
    <t>vente conmigo</t>
  </si>
  <si>
    <t>Croton glandulosus var. septentrionalis</t>
  </si>
  <si>
    <t>Croton michauxii</t>
  </si>
  <si>
    <t>Michaux's croton</t>
  </si>
  <si>
    <t>Crotonopsis linearis</t>
  </si>
  <si>
    <t>Croton monanthogynus</t>
  </si>
  <si>
    <t>prairie tea</t>
  </si>
  <si>
    <t>Croton texensis</t>
  </si>
  <si>
    <t>Texas croton</t>
  </si>
  <si>
    <t>Croton texensis var. texensis</t>
  </si>
  <si>
    <t>Croton willdenowii</t>
  </si>
  <si>
    <t>Willdenow's croton</t>
  </si>
  <si>
    <t>Crotonopsis elliptica</t>
  </si>
  <si>
    <t>Cryptogramma stelleri</t>
  </si>
  <si>
    <t>fragile rockbrake</t>
  </si>
  <si>
    <t>Cryptotaenia canadensis</t>
  </si>
  <si>
    <t>Canadian honewort</t>
  </si>
  <si>
    <t>Deringa canadensis</t>
  </si>
  <si>
    <t>Cucurbita foetidissima</t>
  </si>
  <si>
    <t>Missouri gourd</t>
  </si>
  <si>
    <t>Pepo foetidissima</t>
  </si>
  <si>
    <t>Cuphea viscosissima</t>
  </si>
  <si>
    <t>blue waxweed</t>
  </si>
  <si>
    <t>Cuphea petiolata</t>
  </si>
  <si>
    <t>Parsonsia petiolata</t>
  </si>
  <si>
    <t>Cuscuta cephalanthi</t>
  </si>
  <si>
    <t>buttonbush dodder</t>
  </si>
  <si>
    <t>Grammica cephalanthi</t>
  </si>
  <si>
    <t>Cuscuta compacta</t>
  </si>
  <si>
    <t>compact dodder</t>
  </si>
  <si>
    <t>Cuscuta compacta var. compacta</t>
  </si>
  <si>
    <t>Cuscuta coryli</t>
  </si>
  <si>
    <t>hazel dodder</t>
  </si>
  <si>
    <t>Grammica coryli</t>
  </si>
  <si>
    <t>Cuscuta cuspidata</t>
  </si>
  <si>
    <t>cusp dodder</t>
  </si>
  <si>
    <t>Grammica cuspidata</t>
  </si>
  <si>
    <t>Cuscuta glomerata</t>
  </si>
  <si>
    <t>rope dodder</t>
  </si>
  <si>
    <t>Cuscuta gronovii</t>
  </si>
  <si>
    <t>scaldweed</t>
  </si>
  <si>
    <t>Cuscuta gronovii var. gronovii</t>
  </si>
  <si>
    <t>Cuscuta gronovii var. latiflora</t>
  </si>
  <si>
    <t>Cuscuta gronovii var. saururi</t>
  </si>
  <si>
    <t>Cuscuta umbrosa</t>
  </si>
  <si>
    <t>Grammica gronovii</t>
  </si>
  <si>
    <t>Grammica umbrosa</t>
  </si>
  <si>
    <t>Cuscuta indecora</t>
  </si>
  <si>
    <t>bigseed alfalfa dodder</t>
  </si>
  <si>
    <t>Cuscuta indecora var. neuropetala</t>
  </si>
  <si>
    <t>bigseed dodder</t>
  </si>
  <si>
    <t>Grammica indecora ssp. neuropetala</t>
  </si>
  <si>
    <t>Cuscuta pentagona</t>
  </si>
  <si>
    <t>fiveangled dodder</t>
  </si>
  <si>
    <t>Cuscuta pentagona var. pentagona</t>
  </si>
  <si>
    <t>Cuscuta arvensis</t>
  </si>
  <si>
    <t>Cuscuta campestris</t>
  </si>
  <si>
    <t>Cuscuta pentagona var. calycina</t>
  </si>
  <si>
    <t>Grammica campestris</t>
  </si>
  <si>
    <t>Grammica pentagona</t>
  </si>
  <si>
    <t>Cuscuta polygonorum</t>
  </si>
  <si>
    <t>smartweed dodder</t>
  </si>
  <si>
    <t>Cyclachaena xanthifolia</t>
  </si>
  <si>
    <t>giant sumpweed</t>
  </si>
  <si>
    <t>Iva xanthifolia</t>
  </si>
  <si>
    <t>Cycloloma atriplicifolium</t>
  </si>
  <si>
    <t>winged pigweed</t>
  </si>
  <si>
    <t>Kochia atriplicifolia</t>
  </si>
  <si>
    <t>Cynanchum laeve</t>
  </si>
  <si>
    <t>honeyvine</t>
  </si>
  <si>
    <t>Ampelamus albidus</t>
  </si>
  <si>
    <t>Ampelamus laevis</t>
  </si>
  <si>
    <t>Gonolobus laevis</t>
  </si>
  <si>
    <t>Cynoglossum virginianum</t>
  </si>
  <si>
    <t>wild comfrey</t>
  </si>
  <si>
    <t>Cynoglossum virginianum var. boreale</t>
  </si>
  <si>
    <t>Cynoglossum boreale</t>
  </si>
  <si>
    <t>Cypripedium ×andrewsii</t>
  </si>
  <si>
    <t>Cypripedium ×andrewsii var. andrewsii</t>
  </si>
  <si>
    <t>Cypripedium ×andrewsii var. favillianum</t>
  </si>
  <si>
    <t>Cypripedium ×favillianum</t>
  </si>
  <si>
    <t>Cypripedium candidum</t>
  </si>
  <si>
    <t>white lady's slipper</t>
  </si>
  <si>
    <t>Cypripedium parviflorum</t>
  </si>
  <si>
    <t>lesser yellow lady's slipper</t>
  </si>
  <si>
    <t>Cypripedium parviflorum var. makasin</t>
  </si>
  <si>
    <t>greater yellow lady's slipper</t>
  </si>
  <si>
    <t>Cypripedium pubescens var. makasin</t>
  </si>
  <si>
    <t>Cypripedium parviflorum var. pubescens</t>
  </si>
  <si>
    <t>Cypripedium calceolus var. planipetalum</t>
  </si>
  <si>
    <t>Cypripedium calceolus var. pubescens</t>
  </si>
  <si>
    <t>Cypripedium furcatum</t>
  </si>
  <si>
    <t>Cypripedium planipetalum</t>
  </si>
  <si>
    <t>Cypripedium pubescens</t>
  </si>
  <si>
    <t>Cypripedium pubescens var. pubescens</t>
  </si>
  <si>
    <t>Cypripedium reginae</t>
  </si>
  <si>
    <t>showy lady's slipper</t>
  </si>
  <si>
    <t>Cystopteris bulbifera</t>
  </si>
  <si>
    <t>bulblet bladderfern</t>
  </si>
  <si>
    <t>Filix bulbifera</t>
  </si>
  <si>
    <t>Cystopteris fragilis</t>
  </si>
  <si>
    <t>brittle bladderfern</t>
  </si>
  <si>
    <t>Cystopteris dickieana</t>
  </si>
  <si>
    <t>Cystopteris fragilis ssp. dickieana</t>
  </si>
  <si>
    <t>Cystopteris fragilis var. angustata</t>
  </si>
  <si>
    <t>Cystopteris fragilis var. woodsioides</t>
  </si>
  <si>
    <t>Filix fragilis</t>
  </si>
  <si>
    <t>Cystopteris laurentiana</t>
  </si>
  <si>
    <t>St. Lawrence bladderfern</t>
  </si>
  <si>
    <t>Cystopteris fragilis var. huteri</t>
  </si>
  <si>
    <t>Cystopteris fragilis var. laurentiana</t>
  </si>
  <si>
    <t>Cystopteris protrusa</t>
  </si>
  <si>
    <t>lowland bladderfern</t>
  </si>
  <si>
    <t>Cystopteris fragilis var. protrusa</t>
  </si>
  <si>
    <t>Cystopteris tennesseensis</t>
  </si>
  <si>
    <t>Tennessee bladderfern</t>
  </si>
  <si>
    <t>Cystopteris fragilis var. simulans</t>
  </si>
  <si>
    <t>Cystopteris fragilis var. tennesseensis</t>
  </si>
  <si>
    <t>Cystopteris tenuis</t>
  </si>
  <si>
    <t>upland brittle bladderfern</t>
  </si>
  <si>
    <t>Cystopteris fragilis var. mackayi</t>
  </si>
  <si>
    <t>Dactylorhiza viridis</t>
  </si>
  <si>
    <t>longbract frog orchid</t>
  </si>
  <si>
    <t>Coeloglossum bracteatum</t>
  </si>
  <si>
    <t>Coeloglossum viride</t>
  </si>
  <si>
    <t>Coeloglossum viride ssp. bracteatum</t>
  </si>
  <si>
    <t>Coeloglossum viride var. islandicum</t>
  </si>
  <si>
    <t>Coeloglossum viride var. virescens</t>
  </si>
  <si>
    <t>Coeloglossum viride var. viride</t>
  </si>
  <si>
    <t>Habenaria bracteata</t>
  </si>
  <si>
    <t>Habenaria viridis</t>
  </si>
  <si>
    <t>Habenaria viridis var. bracteata</t>
  </si>
  <si>
    <t>Habenaria viridis var. interjecta</t>
  </si>
  <si>
    <t>Dalea candida</t>
  </si>
  <si>
    <t>white prairie clover</t>
  </si>
  <si>
    <t>Dalea candida var. candida</t>
  </si>
  <si>
    <t>Petalostemon candidus</t>
  </si>
  <si>
    <t>Dalea candida var. oligophylla</t>
  </si>
  <si>
    <t>Dalea occidentalis</t>
  </si>
  <si>
    <t>Dalea oligophylla</t>
  </si>
  <si>
    <t>Petalostemon candidus var. oligophyllus</t>
  </si>
  <si>
    <t>Petalostemon occidentalis</t>
  </si>
  <si>
    <t>Petalostemon oligophyllus</t>
  </si>
  <si>
    <t>Dalea enneandra</t>
  </si>
  <si>
    <t>nineanther prairie clover</t>
  </si>
  <si>
    <t>Dalea enneandra var. pumilla</t>
  </si>
  <si>
    <t>Dalea laxiflora</t>
  </si>
  <si>
    <t>Dalea laxiflora var. pumilla</t>
  </si>
  <si>
    <t>Parosela enneandra</t>
  </si>
  <si>
    <t>Dalea leporina</t>
  </si>
  <si>
    <t>foxtail prairie clover</t>
  </si>
  <si>
    <t>Dalea alopecuroides</t>
  </si>
  <si>
    <t>Dalea lagopus</t>
  </si>
  <si>
    <t>Parosela alopecuroides</t>
  </si>
  <si>
    <t>Dalea purpurea</t>
  </si>
  <si>
    <t>purple prairie clover</t>
  </si>
  <si>
    <t>Dalea purpurea var. purpurea</t>
  </si>
  <si>
    <t>Petalostemon mollis</t>
  </si>
  <si>
    <t>Petalostemon purpureus</t>
  </si>
  <si>
    <t>Petalostemon purpureus var. mollis</t>
  </si>
  <si>
    <t>Dalea villosa</t>
  </si>
  <si>
    <t>silky prairie clover</t>
  </si>
  <si>
    <t>Dalea villosa var. villosa</t>
  </si>
  <si>
    <t>Petalostemon villosus</t>
  </si>
  <si>
    <t>Dasistoma macrophylla</t>
  </si>
  <si>
    <t>mullein foxglove</t>
  </si>
  <si>
    <t>Afzelia macrophylla</t>
  </si>
  <si>
    <t>Seymeria macrophylla</t>
  </si>
  <si>
    <t>Datura wrightii</t>
  </si>
  <si>
    <t>sacred thorn-apple</t>
  </si>
  <si>
    <t>Datura inoxia ssp. quinquecuspida</t>
  </si>
  <si>
    <t>Datura metel var. quinquecuspida</t>
  </si>
  <si>
    <t>Datura meteloides</t>
  </si>
  <si>
    <t>Delphinium carolinianum</t>
  </si>
  <si>
    <t>Carolina larkspur</t>
  </si>
  <si>
    <t>Delphinium carolinianum ssp. carolinianum</t>
  </si>
  <si>
    <t>Delphinium azureum</t>
  </si>
  <si>
    <t>Delphinium azureum var. nortonianum</t>
  </si>
  <si>
    <t>Delphinium carolinianum var. crispum</t>
  </si>
  <si>
    <t>Delphinium carolinianum var. nortonianum</t>
  </si>
  <si>
    <t>Delphinium carolinianum ssp. virescens</t>
  </si>
  <si>
    <t>Delphinium albescens</t>
  </si>
  <si>
    <t>Delphinium carolinianum ssp. penardii</t>
  </si>
  <si>
    <t>Delphinium penardii</t>
  </si>
  <si>
    <t>Delphinium virescens</t>
  </si>
  <si>
    <t>Delphinium virescens ssp. penardii</t>
  </si>
  <si>
    <t>Delphinium virescens var. macroceratilis</t>
  </si>
  <si>
    <t>Delphinium virescens var. penardii</t>
  </si>
  <si>
    <t>Delphinium tricorne</t>
  </si>
  <si>
    <t>dwarf larkspur</t>
  </si>
  <si>
    <t>Deparia acrostichoides</t>
  </si>
  <si>
    <t>silver false spleenwort</t>
  </si>
  <si>
    <t>Athyrium thelypterioides</t>
  </si>
  <si>
    <t>Diplazium acrostichoides</t>
  </si>
  <si>
    <t>Descurainia pinnata</t>
  </si>
  <si>
    <t>western tansymustard</t>
  </si>
  <si>
    <t>Descurainia pinnata ssp. brachycarpa</t>
  </si>
  <si>
    <t>Descurainia brachycarpa</t>
  </si>
  <si>
    <t>Descurainia pinnata var. brachycarpa</t>
  </si>
  <si>
    <t>Sisymbrium brachycarpum</t>
  </si>
  <si>
    <t>Sophia brachycarpa</t>
  </si>
  <si>
    <t>Desmanthus illinoensis</t>
  </si>
  <si>
    <t>Illinois bundleflower</t>
  </si>
  <si>
    <t>Acuan illinoense</t>
  </si>
  <si>
    <t>Mimosa illinoensis</t>
  </si>
  <si>
    <t>Desmodium canadense</t>
  </si>
  <si>
    <t>showy ticktrefoil</t>
  </si>
  <si>
    <t>Meibomia canadensis</t>
  </si>
  <si>
    <t>Desmodium canescens</t>
  </si>
  <si>
    <t>hoary ticktrefoil</t>
  </si>
  <si>
    <t>Desmodium canescens var. hirsutum</t>
  </si>
  <si>
    <t>Desmodium canescens var. villosissimum</t>
  </si>
  <si>
    <t>Meibomia canescens</t>
  </si>
  <si>
    <t>Desmodium cuspidatum</t>
  </si>
  <si>
    <t>largebract ticktrefoil</t>
  </si>
  <si>
    <t>Desmodium cuspidatum var. cuspidatum</t>
  </si>
  <si>
    <t>Desmodium bracteosum</t>
  </si>
  <si>
    <t>Desmodium grandiflorum</t>
  </si>
  <si>
    <t>Hedysarum grandiflorum</t>
  </si>
  <si>
    <t>Meibomia bracteosa</t>
  </si>
  <si>
    <t>Meibomia grandiflora</t>
  </si>
  <si>
    <t>Desmodium cuspidatum var. longifolium</t>
  </si>
  <si>
    <t>Desmodium bracteosum var. longifolium</t>
  </si>
  <si>
    <t>Desmodium longifolium</t>
  </si>
  <si>
    <t>Meibomia longifolia</t>
  </si>
  <si>
    <t>Desmodium glabellum</t>
  </si>
  <si>
    <t>Dillenius' ticktrefoil</t>
  </si>
  <si>
    <t>Desmodium dillenii</t>
  </si>
  <si>
    <t>Meibomia glabella</t>
  </si>
  <si>
    <t>Desmodium glutinosum</t>
  </si>
  <si>
    <t>pointedleaf ticktrefoil</t>
  </si>
  <si>
    <t>Desmodium acuminatum</t>
  </si>
  <si>
    <t>Meibomia acuminata</t>
  </si>
  <si>
    <t>Desmodium illinoense</t>
  </si>
  <si>
    <t>Illinois ticktrefoil</t>
  </si>
  <si>
    <t>Meibomia illinoensis</t>
  </si>
  <si>
    <t>Desmodium nudiflorum</t>
  </si>
  <si>
    <t>nakedflower ticktrefoil</t>
  </si>
  <si>
    <t>Meibomia nudiflora</t>
  </si>
  <si>
    <t>Desmodium paniculatum</t>
  </si>
  <si>
    <t>panicledleaf ticktrefoil</t>
  </si>
  <si>
    <t>Desmodium paniculatum var. paniculatum</t>
  </si>
  <si>
    <t>Desmodium dichromum</t>
  </si>
  <si>
    <t>Desmodium paniculatum var. angustifolium</t>
  </si>
  <si>
    <t>Desmodium paniculatum var. pubens</t>
  </si>
  <si>
    <t>Meibomia chapmanii</t>
  </si>
  <si>
    <t>Meibomia paniculata</t>
  </si>
  <si>
    <t>Meibomia pubens</t>
  </si>
  <si>
    <t>Desmodium perplexum</t>
  </si>
  <si>
    <t>perplexed ticktrefoil</t>
  </si>
  <si>
    <t>Desmodium paniculatum var. dillenii</t>
  </si>
  <si>
    <t>Meibomia dillenii</t>
  </si>
  <si>
    <t>Desmodium sessilifolium</t>
  </si>
  <si>
    <t>sessileleaf ticktrefoil</t>
  </si>
  <si>
    <t>Meibomia sessilifolia</t>
  </si>
  <si>
    <t>Dicentra canadensis</t>
  </si>
  <si>
    <t>squirrel corn</t>
  </si>
  <si>
    <t>Bicuculla canadensis</t>
  </si>
  <si>
    <t>Dicentra cucullaria</t>
  </si>
  <si>
    <t>dutchman's breeches</t>
  </si>
  <si>
    <t>Bicuculla cucullaria</t>
  </si>
  <si>
    <t>Dicentra cucullaria var. occidentalis</t>
  </si>
  <si>
    <t>Dicentra occidentalis</t>
  </si>
  <si>
    <t>Didiplis diandra</t>
  </si>
  <si>
    <t>waterpurslane</t>
  </si>
  <si>
    <t>Peplis diandra</t>
  </si>
  <si>
    <t>Diodia teres</t>
  </si>
  <si>
    <t>poorjoe</t>
  </si>
  <si>
    <t>Diodia teres var. teres</t>
  </si>
  <si>
    <t>Diodella teres</t>
  </si>
  <si>
    <t>Diodia teres var. setifera</t>
  </si>
  <si>
    <t>Dioscorea quaternata</t>
  </si>
  <si>
    <t>fourleaf yam</t>
  </si>
  <si>
    <t>Dioscorea glauca</t>
  </si>
  <si>
    <t>Dioscorea quaternata var. glauca</t>
  </si>
  <si>
    <t>Dioscorea villosa var. glabrifolia</t>
  </si>
  <si>
    <t>Dioscorea villosa</t>
  </si>
  <si>
    <t>wild yam</t>
  </si>
  <si>
    <t>Dioscorea hirticaulis</t>
  </si>
  <si>
    <t>Dioscorea villosa var. hirticaulis</t>
  </si>
  <si>
    <t>Diplazium pycnocarpon</t>
  </si>
  <si>
    <t>glade fern</t>
  </si>
  <si>
    <t>Asplenium pycnocarpon</t>
  </si>
  <si>
    <t>Athyrium pycnocarpon</t>
  </si>
  <si>
    <t>Dodecatheon amethystinum</t>
  </si>
  <si>
    <t>jeweled shootingstar</t>
  </si>
  <si>
    <t>Dodecatheon meadia</t>
  </si>
  <si>
    <t>pride of Ohio</t>
  </si>
  <si>
    <t>Dodecatheon meadia ssp. brachycarpum</t>
  </si>
  <si>
    <t>Dodecatheon brachycarpum</t>
  </si>
  <si>
    <t>Dodecatheon meadia var. brachycarpum</t>
  </si>
  <si>
    <t>Dodecatheon meadia ssp. meadia</t>
  </si>
  <si>
    <t>Dodecatheon hugeri</t>
  </si>
  <si>
    <t>Dodecatheon meadia var. obesum</t>
  </si>
  <si>
    <t>Dodecatheon meadia var. standfieldii</t>
  </si>
  <si>
    <t>parasol whitetop</t>
  </si>
  <si>
    <t>Doellingeria umbellata var. pubens</t>
  </si>
  <si>
    <t>Aster pubentior</t>
  </si>
  <si>
    <t>Aster umbellatus var. pubens</t>
  </si>
  <si>
    <t>Doellingeria umbellata ssp. pubens</t>
  </si>
  <si>
    <t>Doellingeria umbellata var. umbellata</t>
  </si>
  <si>
    <t>Aster umbellatus</t>
  </si>
  <si>
    <t>Draba nemorosa</t>
  </si>
  <si>
    <t>woodland draba</t>
  </si>
  <si>
    <t>Draba lutea</t>
  </si>
  <si>
    <t>Draba nemorosa var. leiocarpa</t>
  </si>
  <si>
    <t>Draba reptans</t>
  </si>
  <si>
    <t>Carolina draba</t>
  </si>
  <si>
    <t>Draba caroliniana</t>
  </si>
  <si>
    <t>Draba micrantha</t>
  </si>
  <si>
    <t>Draba reptans ssp. stellifera</t>
  </si>
  <si>
    <t>Draba reptans var. micrantha</t>
  </si>
  <si>
    <t>Draba reptans var. stellifera</t>
  </si>
  <si>
    <t>Draba reptans var. typica</t>
  </si>
  <si>
    <t>Dracocephalum parviflorum</t>
  </si>
  <si>
    <t>American dragonhead</t>
  </si>
  <si>
    <t>Moldavica parviflora</t>
  </si>
  <si>
    <t>Drosera rotundifolia</t>
  </si>
  <si>
    <t>roundleaf sundew</t>
  </si>
  <si>
    <t>Drosera rotundifolia var. rotundifolia</t>
  </si>
  <si>
    <t>Dryopteris ×boottii</t>
  </si>
  <si>
    <t>Dryopteris carthusiana</t>
  </si>
  <si>
    <t>spinulose woodfern</t>
  </si>
  <si>
    <t>Dryopteris austriaca var. spinulosa</t>
  </si>
  <si>
    <t>Dryopteris spinulosa</t>
  </si>
  <si>
    <t>Dryopteris cristata</t>
  </si>
  <si>
    <t>crested woodfern</t>
  </si>
  <si>
    <t>Dryopteris goldiana</t>
  </si>
  <si>
    <t>Goldie's woodfern</t>
  </si>
  <si>
    <t>Dryopteris intermedia</t>
  </si>
  <si>
    <t>intermediate woodfern</t>
  </si>
  <si>
    <t>Dryopteris austriaca var. intermedia</t>
  </si>
  <si>
    <t>Dryopteris spinulosa var. concordiana</t>
  </si>
  <si>
    <t>Dryopteris spinulosa var. intermedia</t>
  </si>
  <si>
    <t>Dryopteris marginalis</t>
  </si>
  <si>
    <t>marginal woodfern</t>
  </si>
  <si>
    <t>Dryopteris ×triploidea</t>
  </si>
  <si>
    <t>Dryopteris austriaca var. fructuosa</t>
  </si>
  <si>
    <t>Dryopteris intermedia var. fructuosa</t>
  </si>
  <si>
    <t>Dryopteris spinulosa var. fructuosa</t>
  </si>
  <si>
    <t>Dryopteris ×uliginosa</t>
  </si>
  <si>
    <t>Dyssodia papposa</t>
  </si>
  <si>
    <t>fetid marigold</t>
  </si>
  <si>
    <t>Boebera papposa</t>
  </si>
  <si>
    <t>Tagetes papposa</t>
  </si>
  <si>
    <t>Echinacea angustifolia</t>
  </si>
  <si>
    <t>blacksamson echinacea</t>
  </si>
  <si>
    <t>Echinacea angustifolia var. angustifolia</t>
  </si>
  <si>
    <t>Brauneria angustifolia</t>
  </si>
  <si>
    <t>Echinacea pallida var. angustifolia</t>
  </si>
  <si>
    <t>Echinacea pallida</t>
  </si>
  <si>
    <t>pale purple coneflower</t>
  </si>
  <si>
    <t>Brauneria pallida</t>
  </si>
  <si>
    <t>Rudbeckia pallida</t>
  </si>
  <si>
    <t>Echinacea purpurea</t>
  </si>
  <si>
    <t>eastern purple coneflower</t>
  </si>
  <si>
    <t>Brauneria purpurea</t>
  </si>
  <si>
    <t>Echinacea purpurea var. arkansana</t>
  </si>
  <si>
    <t>Rudbeckia purpurea</t>
  </si>
  <si>
    <t>Echinocystis lobata</t>
  </si>
  <si>
    <t>wild cucumber</t>
  </si>
  <si>
    <t>Micrampelis lobata</t>
  </si>
  <si>
    <t>Sicyos lobata</t>
  </si>
  <si>
    <t>Echinodorus berteroi</t>
  </si>
  <si>
    <t>upright burhead</t>
  </si>
  <si>
    <t>Echinodorus berteroi var. lanceolatus</t>
  </si>
  <si>
    <t>Echinodorus rostratus</t>
  </si>
  <si>
    <t>Echinodorus rostratus var. lanceolatus</t>
  </si>
  <si>
    <t>Echinodorus cordifolius</t>
  </si>
  <si>
    <t>creeping burhead</t>
  </si>
  <si>
    <t>Echinodorus radicans</t>
  </si>
  <si>
    <t>Eclipta prostrata</t>
  </si>
  <si>
    <t>false daisy</t>
  </si>
  <si>
    <t>Eclipta alba</t>
  </si>
  <si>
    <t>Eclipta erecta</t>
  </si>
  <si>
    <t>Verbesina alba</t>
  </si>
  <si>
    <t>Verbesina prostrata</t>
  </si>
  <si>
    <t>Elatine rubella</t>
  </si>
  <si>
    <t>southwestern waterwort</t>
  </si>
  <si>
    <t>Elatine triandra</t>
  </si>
  <si>
    <t>Ellisia nyctelea</t>
  </si>
  <si>
    <t>Aunt Lucy</t>
  </si>
  <si>
    <t>Ellisia nyctelea var. coloradensis</t>
  </si>
  <si>
    <t>Nyctelea nyctelea</t>
  </si>
  <si>
    <t>Elodea canadensis</t>
  </si>
  <si>
    <t>Canadian waterweed</t>
  </si>
  <si>
    <t>Anacharis canadensis</t>
  </si>
  <si>
    <t>Anacharis canadensis var. planchonii</t>
  </si>
  <si>
    <t>Elodea brandegeeae</t>
  </si>
  <si>
    <t>Elodea ioensis</t>
  </si>
  <si>
    <t>Elodea linearis</t>
  </si>
  <si>
    <t>Elodea planchonii</t>
  </si>
  <si>
    <t>Philotria canadensis</t>
  </si>
  <si>
    <t>Philotria linearis</t>
  </si>
  <si>
    <t>Elodea nuttallii</t>
  </si>
  <si>
    <t>western waterweed</t>
  </si>
  <si>
    <t>Anacharis nuttallii</t>
  </si>
  <si>
    <t>Anacharis occidentalis</t>
  </si>
  <si>
    <t>Elodea columbiana</t>
  </si>
  <si>
    <t>Elodea minor</t>
  </si>
  <si>
    <t>Elodea occidentalis</t>
  </si>
  <si>
    <t>Philotria angustifolia</t>
  </si>
  <si>
    <t>Philotria minor</t>
  </si>
  <si>
    <t>Philotria nuttallii</t>
  </si>
  <si>
    <t>Philotria occidentalis</t>
  </si>
  <si>
    <t>Udora verticillata var. minor</t>
  </si>
  <si>
    <t>Enemion biternatum</t>
  </si>
  <si>
    <t>eastern false rue anemone</t>
  </si>
  <si>
    <t>Isopyrum biternatum</t>
  </si>
  <si>
    <t>fringed willowherb</t>
  </si>
  <si>
    <t>Epilobium ciliatum ssp. ciliatum</t>
  </si>
  <si>
    <t>Epilobium adenocaulon</t>
  </si>
  <si>
    <t>Epilobium adenocaulon var. ecomosum</t>
  </si>
  <si>
    <t>Epilobium adenocaulon var. holosericeum</t>
  </si>
  <si>
    <t>Epilobium adenocaulon var. parishii</t>
  </si>
  <si>
    <t>Epilobium adenocaulon var. perplexans</t>
  </si>
  <si>
    <t>Epilobium americanum</t>
  </si>
  <si>
    <t>Epilobium brevistylum</t>
  </si>
  <si>
    <t>Epilobium brevistylum var. ursinum</t>
  </si>
  <si>
    <t>Epilobium californicum</t>
  </si>
  <si>
    <t>Epilobium californicum var. holosericeum</t>
  </si>
  <si>
    <t>Epilobium ciliatum var. ecomosum</t>
  </si>
  <si>
    <t>Epilobium delicatum</t>
  </si>
  <si>
    <t>Epilobium ecomosum</t>
  </si>
  <si>
    <t>Epilobium glandulosum var. adenocaulon</t>
  </si>
  <si>
    <t>Epilobium glandulosum var. ecomosum</t>
  </si>
  <si>
    <t>Epilobium glandulosum var. macounii</t>
  </si>
  <si>
    <t>Epilobium leptocarpum var. macounii</t>
  </si>
  <si>
    <t>Epilobium ursinum</t>
  </si>
  <si>
    <t>Epilobium watsonii var. parishii</t>
  </si>
  <si>
    <t>Epilobium coloratum</t>
  </si>
  <si>
    <t>purpleleaf willowherb</t>
  </si>
  <si>
    <t>Epilobium leptophyllum</t>
  </si>
  <si>
    <t>bog willowherb</t>
  </si>
  <si>
    <t>Epilobium nesophilum</t>
  </si>
  <si>
    <t>Epilobium nesophilum var. sabulonense</t>
  </si>
  <si>
    <t>Epilobium palustre var. gracile</t>
  </si>
  <si>
    <t>Epilobium palustre var. sabulonense</t>
  </si>
  <si>
    <t>Epilobium rosmarinifolium</t>
  </si>
  <si>
    <t>Epilobium treleaseanum</t>
  </si>
  <si>
    <t>Epilobium strictum</t>
  </si>
  <si>
    <t>downy willowherb</t>
  </si>
  <si>
    <t>Epilobium densum</t>
  </si>
  <si>
    <t>Epilobium ×wisconsinense</t>
  </si>
  <si>
    <t>Equisetum arvense</t>
  </si>
  <si>
    <t>field horsetail</t>
  </si>
  <si>
    <t>Equisetum arvense var. alpestre</t>
  </si>
  <si>
    <t>Equisetum arvense var. boreale</t>
  </si>
  <si>
    <t>Equisetum arvense var. campestre</t>
  </si>
  <si>
    <t>Equisetum arvense var. riparium</t>
  </si>
  <si>
    <t>Equisetum calderi</t>
  </si>
  <si>
    <t>Equisetum ×ferrissii</t>
  </si>
  <si>
    <t>Equisetum hyemale var. elatum</t>
  </si>
  <si>
    <t>Equisetum hyemale var. intermedium</t>
  </si>
  <si>
    <t>Equisetum intermedium</t>
  </si>
  <si>
    <t>Equisetum fluviatile</t>
  </si>
  <si>
    <t>water horsetail</t>
  </si>
  <si>
    <t>Equisetum fluviatile var. limosum</t>
  </si>
  <si>
    <t>Equisetum limosum</t>
  </si>
  <si>
    <t>Equisetum hyemale</t>
  </si>
  <si>
    <t>scouringrush horsetail</t>
  </si>
  <si>
    <t>Equisetum hyemale var. affine</t>
  </si>
  <si>
    <t>Equisetum affine</t>
  </si>
  <si>
    <t>Equisetum hyemale ssp. affine</t>
  </si>
  <si>
    <t>Equisetum hyemale var. californicum</t>
  </si>
  <si>
    <t>Equisetum hyemale var. pseudohyemale</t>
  </si>
  <si>
    <t>Equisetum hyemale var. robustum</t>
  </si>
  <si>
    <t>Equisetum praealtum</t>
  </si>
  <si>
    <t>Equisetum robustum</t>
  </si>
  <si>
    <t>Hippochaete hyemalis</t>
  </si>
  <si>
    <t>Hippochaete hyemalis ssp. affinis</t>
  </si>
  <si>
    <t>Equisetum laevigatum</t>
  </si>
  <si>
    <t>smooth horsetail</t>
  </si>
  <si>
    <t>Equisetum funstonii</t>
  </si>
  <si>
    <t>Equisetum kansanum</t>
  </si>
  <si>
    <t>Equisetum laevigatum ssp. funstonii</t>
  </si>
  <si>
    <t>Hippochaete laevigata</t>
  </si>
  <si>
    <t>Equisetum ×litorale</t>
  </si>
  <si>
    <t>Equisetum pratense</t>
  </si>
  <si>
    <t>meadow horsetail</t>
  </si>
  <si>
    <t>Equisetum scirpoides</t>
  </si>
  <si>
    <t>dwarf scouringrush</t>
  </si>
  <si>
    <t>Equisetum sylvaticum</t>
  </si>
  <si>
    <t>woodland horsetail</t>
  </si>
  <si>
    <t>Equisetum sylvaticum var. multiramosum</t>
  </si>
  <si>
    <t>Equisetum sylvaticum var. pauciramosum</t>
  </si>
  <si>
    <t>Erechtites hieraciifolia</t>
  </si>
  <si>
    <t>American burnweed</t>
  </si>
  <si>
    <t>Erechtites hieracifolia</t>
  </si>
  <si>
    <t>Erechtites hieraciifolia var. hieraciifolia</t>
  </si>
  <si>
    <t>Erechtites hieraciifolia var. intermedia</t>
  </si>
  <si>
    <t>Erechtites hieraciifolia var. praealta</t>
  </si>
  <si>
    <t>Senecio hieraciifolius</t>
  </si>
  <si>
    <t>Erigeron annuus</t>
  </si>
  <si>
    <t>eastern daisy fleabane</t>
  </si>
  <si>
    <t>Erigeron annuus var. discoideus</t>
  </si>
  <si>
    <t>Stenactis annua</t>
  </si>
  <si>
    <t>Erigeron philadelphicus</t>
  </si>
  <si>
    <t>Philadelphia fleabane</t>
  </si>
  <si>
    <t>Erigeron philadelphicus var. philadelphicus</t>
  </si>
  <si>
    <t>Erigeron philadelphicus var. glaber</t>
  </si>
  <si>
    <t>Erigeron philadelphicus var. scaturicola</t>
  </si>
  <si>
    <t>Erigeron purpureus</t>
  </si>
  <si>
    <t>Erigeron pulchellus</t>
  </si>
  <si>
    <t>robin's plantain</t>
  </si>
  <si>
    <t>Erigeron pulchellus var. pulchellus</t>
  </si>
  <si>
    <t>Erigeron bellidifolius</t>
  </si>
  <si>
    <t>Erigeron strigosus</t>
  </si>
  <si>
    <t>prairie fleabane</t>
  </si>
  <si>
    <t>Erigeron strigosus var. septentrionalis</t>
  </si>
  <si>
    <t>Erigeron strigosus ssp. septentrionalis</t>
  </si>
  <si>
    <t>Eryngium yuccifolium</t>
  </si>
  <si>
    <t>button eryngo</t>
  </si>
  <si>
    <t>Eryngium yuccifolium var. yuccifolium</t>
  </si>
  <si>
    <t>Erysimum asperum</t>
  </si>
  <si>
    <t>western wallflower</t>
  </si>
  <si>
    <t>Cheirinia aspera</t>
  </si>
  <si>
    <t>Erysimum capitatum</t>
  </si>
  <si>
    <t>sanddune wallflower</t>
  </si>
  <si>
    <t>Erysimum capitatum var. capitatum</t>
  </si>
  <si>
    <t>Erysimum arkansanum</t>
  </si>
  <si>
    <t>Erysimum asperum var. arkansanum</t>
  </si>
  <si>
    <t>Erysimum asperum var. capitatum</t>
  </si>
  <si>
    <t>Erysimum capitatum var. stellatum</t>
  </si>
  <si>
    <t>Erysimum capitatum var. washoense</t>
  </si>
  <si>
    <t>Erysimum elatum</t>
  </si>
  <si>
    <t>Erysimum moniliforme</t>
  </si>
  <si>
    <t>Erysimum wheeleri</t>
  </si>
  <si>
    <t>Erysimum inconspicuum</t>
  </si>
  <si>
    <t>shy wallflower</t>
  </si>
  <si>
    <t>Erysimum inconspicuum var. inconspicuum</t>
  </si>
  <si>
    <t>Cheirinia inconspicua</t>
  </si>
  <si>
    <t>Erysimum parviflorum</t>
  </si>
  <si>
    <t>Erythronium albidum</t>
  </si>
  <si>
    <t>white fawnlily</t>
  </si>
  <si>
    <t>Erythronium americanum</t>
  </si>
  <si>
    <t>dogtooth violet</t>
  </si>
  <si>
    <t>Erythronium americanum ssp. americanum</t>
  </si>
  <si>
    <t>Erythronium mesochoreum</t>
  </si>
  <si>
    <t>midland fawnlily</t>
  </si>
  <si>
    <t>Erythronium albidum var. coloratum</t>
  </si>
  <si>
    <t>Erythronium albidum var. mesochoreum</t>
  </si>
  <si>
    <t>Eupatoriadelphus maculatus</t>
  </si>
  <si>
    <t>spotted trumpetweed</t>
  </si>
  <si>
    <t>Eupatoriadelphus maculatus var. bruneri</t>
  </si>
  <si>
    <t>spotted joe pye weed</t>
  </si>
  <si>
    <t>Eupatorium bruneri</t>
  </si>
  <si>
    <t>Eupatorium maculatum ssp. bruneri</t>
  </si>
  <si>
    <t>Eupatorium maculatum var. bruneri</t>
  </si>
  <si>
    <t>Eupatoriadelphus maculatus var. maculatus</t>
  </si>
  <si>
    <t>Eupatorium maculatum</t>
  </si>
  <si>
    <t>Eupatorium maculatum var. maculatum</t>
  </si>
  <si>
    <t>Eupatorium purpureum var. maculatum</t>
  </si>
  <si>
    <t>Eupatorium altissimum</t>
  </si>
  <si>
    <t>tall thoroughwort</t>
  </si>
  <si>
    <t>Eupatorium saltuense</t>
  </si>
  <si>
    <t>Eupatorium perfoliatum</t>
  </si>
  <si>
    <t>common boneset</t>
  </si>
  <si>
    <t>Eupatorium perfoliatum var. perfoliatum</t>
  </si>
  <si>
    <t>Eupatorium purpureum</t>
  </si>
  <si>
    <t>sweetscented joe pye weed</t>
  </si>
  <si>
    <t>Eupatorium purpureum var. holzingeri</t>
  </si>
  <si>
    <t>Holzinger's eupatorium</t>
  </si>
  <si>
    <t>Eupatorium holzingeri</t>
  </si>
  <si>
    <t>Eupatorium purpureum var. purpureum</t>
  </si>
  <si>
    <t>Eupatoriadelphus purpureus</t>
  </si>
  <si>
    <t>Eupatorium falcatum</t>
  </si>
  <si>
    <t>Eupatorium purpureum var. amoenum</t>
  </si>
  <si>
    <t>Eupatorium trifoliatum</t>
  </si>
  <si>
    <t>Eupatorium serotinum</t>
  </si>
  <si>
    <t>lateflowering thoroughwort</t>
  </si>
  <si>
    <t>Eupatorium sessilifolium</t>
  </si>
  <si>
    <t>upland boneset</t>
  </si>
  <si>
    <t>Eupatorium sessilifolium var. brittonianum</t>
  </si>
  <si>
    <t>Eupatorium ×truncatum</t>
  </si>
  <si>
    <t>Eupatorium cuneatum</t>
  </si>
  <si>
    <t>Eupatorium perfoliatum var. cuneatum</t>
  </si>
  <si>
    <t>Eupatorium perfoliatum var. truncatum</t>
  </si>
  <si>
    <t>Eupatorium ×polyneuron</t>
  </si>
  <si>
    <t>Eupatorium resinosum var. kentuckiense</t>
  </si>
  <si>
    <t>Eupatorium serotinum var. polyneuron</t>
  </si>
  <si>
    <t>Euphorbia commutata</t>
  </si>
  <si>
    <t>tinted woodland spurge</t>
  </si>
  <si>
    <t>Euphorbia commutata var. erecta</t>
  </si>
  <si>
    <t>Galarhoeus commutatus</t>
  </si>
  <si>
    <t>Galarhoeus commutatus var. erectus</t>
  </si>
  <si>
    <t>Tithymalus commutatus</t>
  </si>
  <si>
    <t>Euphorbia corollata</t>
  </si>
  <si>
    <t>flowering spurge</t>
  </si>
  <si>
    <t>Euphorbia corollata var. angustifolia</t>
  </si>
  <si>
    <t>Euphorbia marilandica</t>
  </si>
  <si>
    <t>Tithymalopsis corollata</t>
  </si>
  <si>
    <t>Tithymalopsis marilandica</t>
  </si>
  <si>
    <t>Tithymalopsis olivacea</t>
  </si>
  <si>
    <t>Euphorbia cyathophora</t>
  </si>
  <si>
    <t>fire on the mountain</t>
  </si>
  <si>
    <t>Euphorbia barbellata</t>
  </si>
  <si>
    <t>Euphorbia graminifolia</t>
  </si>
  <si>
    <t>Euphorbia havanensis</t>
  </si>
  <si>
    <t>Euphorbia heterophylla var. barbellata</t>
  </si>
  <si>
    <t>Euphorbia heterophylla var. cyathophora</t>
  </si>
  <si>
    <t>Euphorbia heterophylla var. graminifolia</t>
  </si>
  <si>
    <t>Poinsettia barbellata</t>
  </si>
  <si>
    <t>Poinsettia cyathophora</t>
  </si>
  <si>
    <t>Poinsettia cyathophora var. graminifolia</t>
  </si>
  <si>
    <t>Poinsettia graminifolia</t>
  </si>
  <si>
    <t>Poinsettia havanensis</t>
  </si>
  <si>
    <t>Euphorbia dentata</t>
  </si>
  <si>
    <t>toothed spurge</t>
  </si>
  <si>
    <t>Euphorbia dentata var. dentata</t>
  </si>
  <si>
    <t>Anisophyllum dentatum</t>
  </si>
  <si>
    <t>Euphorbia dentata var. linearis</t>
  </si>
  <si>
    <t>Euphorbia dentata var. rigida</t>
  </si>
  <si>
    <t>Euphorbia herronii</t>
  </si>
  <si>
    <t>Poinsettia dentata</t>
  </si>
  <si>
    <t>Euphorbia hexagona</t>
  </si>
  <si>
    <t>sixangle spurge</t>
  </si>
  <si>
    <t>Zygophyllidium hexagonum</t>
  </si>
  <si>
    <t>Euphorbia marginata</t>
  </si>
  <si>
    <t>snow on the mountain</t>
  </si>
  <si>
    <t>Agaloma marginata</t>
  </si>
  <si>
    <t>Dichrophyllum marginatum</t>
  </si>
  <si>
    <t>Lepadena marginata</t>
  </si>
  <si>
    <t>Euphorbia spathulata</t>
  </si>
  <si>
    <t>warty spurge</t>
  </si>
  <si>
    <t>Euphorbia alta</t>
  </si>
  <si>
    <t>Euphorbia arkansana</t>
  </si>
  <si>
    <t>Euphorbia dictyosperma</t>
  </si>
  <si>
    <t>Euphorbia obtusata</t>
  </si>
  <si>
    <t>Galarhoeus arkansanus</t>
  </si>
  <si>
    <t>Galarhoeus obtusatus</t>
  </si>
  <si>
    <t>Tithymalus arkansanus</t>
  </si>
  <si>
    <t>Tithymalus missouriensis</t>
  </si>
  <si>
    <t>Tithymalus obtusatus</t>
  </si>
  <si>
    <t>Tithymalus spathulatus</t>
  </si>
  <si>
    <t>Eurybia furcata</t>
  </si>
  <si>
    <t>forked aster</t>
  </si>
  <si>
    <t>Aster furcatus</t>
  </si>
  <si>
    <t>Eurybia macrophylla</t>
  </si>
  <si>
    <t>bigleaf aster</t>
  </si>
  <si>
    <t>Aster ianthinus</t>
  </si>
  <si>
    <t>Aster macrophyllus</t>
  </si>
  <si>
    <t>Aster macrophyllus var. apricensis</t>
  </si>
  <si>
    <t>Aster macrophyllus var. excelsior</t>
  </si>
  <si>
    <t>Aster macrophyllus var. ianthinus</t>
  </si>
  <si>
    <t>Aster macrophyllus var. pinguifolius</t>
  </si>
  <si>
    <t>Aster macrophyllus var. sejunctus</t>
  </si>
  <si>
    <t>Aster macrophyllus var. velutinus</t>
  </si>
  <si>
    <t>Aster multiformis</t>
  </si>
  <si>
    <t>Aster nobilis</t>
  </si>
  <si>
    <t>Aster riciniatus</t>
  </si>
  <si>
    <t>Aster roscidus</t>
  </si>
  <si>
    <t>Aster violaris</t>
  </si>
  <si>
    <t>Eurybia schreberi</t>
  </si>
  <si>
    <t>Schreber's aster</t>
  </si>
  <si>
    <t>Aster chasei</t>
  </si>
  <si>
    <t>Aster curvescens</t>
  </si>
  <si>
    <t>Aster glomeratus</t>
  </si>
  <si>
    <t>Aster schreberi</t>
  </si>
  <si>
    <t>Eurybia glomerata</t>
  </si>
  <si>
    <t>flat-top goldentop</t>
  </si>
  <si>
    <t>Euthamia graminifolia var. graminifolia</t>
  </si>
  <si>
    <t>Chrysocoma graminifolia</t>
  </si>
  <si>
    <t>Euthamia floribunda</t>
  </si>
  <si>
    <t>Euthamia graminifolia var. major</t>
  </si>
  <si>
    <t>Euthamia graminifolia var. nuttallii</t>
  </si>
  <si>
    <t>Euthamia nuttallii</t>
  </si>
  <si>
    <t>Solidago graminifolia</t>
  </si>
  <si>
    <t>Solidago graminifolia var. major</t>
  </si>
  <si>
    <t>Solidago graminifolia var. nuttallii</t>
  </si>
  <si>
    <t>Solidago graminifolia var. polycephala</t>
  </si>
  <si>
    <t>Solidago hirtella</t>
  </si>
  <si>
    <t>Solidago nuttallii</t>
  </si>
  <si>
    <t>Solidago polycephala</t>
  </si>
  <si>
    <t>Euthamia gymnospermoides</t>
  </si>
  <si>
    <t>Texas goldentop</t>
  </si>
  <si>
    <t>Euthamia camporum</t>
  </si>
  <si>
    <t>Euthamia chrysothamnoides</t>
  </si>
  <si>
    <t>Euthamia glutinosa</t>
  </si>
  <si>
    <t>Euthamia media</t>
  </si>
  <si>
    <t>Euthamia pulverulenta</t>
  </si>
  <si>
    <t>Euthamia remota</t>
  </si>
  <si>
    <t>Solidago camporum</t>
  </si>
  <si>
    <t>Solidago chrysothamnoides</t>
  </si>
  <si>
    <t>Solidago graminifolia var. gymnospermoides</t>
  </si>
  <si>
    <t>Solidago graminifolia var. media</t>
  </si>
  <si>
    <t>Solidago gymnospermoides</t>
  </si>
  <si>
    <t>Solidago gymnospermoides var. callosa</t>
  </si>
  <si>
    <t>Solidago media</t>
  </si>
  <si>
    <t>Solidago moseleyi</t>
  </si>
  <si>
    <t>Solidago perglabra</t>
  </si>
  <si>
    <t>Solidago remota</t>
  </si>
  <si>
    <t>Solidago texensis</t>
  </si>
  <si>
    <t>Filipendula rubra</t>
  </si>
  <si>
    <t>queen of the prairie</t>
  </si>
  <si>
    <t>Floerkea proserpinacoides</t>
  </si>
  <si>
    <t>false mermaidweed</t>
  </si>
  <si>
    <t>Floerkea occidentalis</t>
  </si>
  <si>
    <t>Fragaria vesca</t>
  </si>
  <si>
    <t>woodland strawberry</t>
  </si>
  <si>
    <t>Fragaria vesca ssp. americana</t>
  </si>
  <si>
    <t>Fragaria americana</t>
  </si>
  <si>
    <t>Fragaria vesca var. americana</t>
  </si>
  <si>
    <t>Fragaria virginiana</t>
  </si>
  <si>
    <t>Virginia strawberry</t>
  </si>
  <si>
    <t>Fragaria virginiana ssp. glauca</t>
  </si>
  <si>
    <t>Fragaria glauca</t>
  </si>
  <si>
    <t>Fragaria multicipita</t>
  </si>
  <si>
    <t>Fragaria ovalis</t>
  </si>
  <si>
    <t>Fragaria pauciflora</t>
  </si>
  <si>
    <t>Fragaria virginiana var. glauca</t>
  </si>
  <si>
    <t>Fragaria virginiana var. ovalis</t>
  </si>
  <si>
    <t>Fragaria virginiana var. terrae-novae</t>
  </si>
  <si>
    <t>Fragaria virginiana ssp. grayana</t>
  </si>
  <si>
    <t>Fragaria grayana</t>
  </si>
  <si>
    <t>Fragaria virginiana var. illinoensis</t>
  </si>
  <si>
    <t>Fragaria virginiana ssp. virginiana</t>
  </si>
  <si>
    <t>Fragaria australis</t>
  </si>
  <si>
    <t>Fragaria canadensis</t>
  </si>
  <si>
    <t>Fragaria virginiana var. australis</t>
  </si>
  <si>
    <t>Fragaria virginiana var. canadensis</t>
  </si>
  <si>
    <t>Froelichia floridana</t>
  </si>
  <si>
    <t>plains snakecotton</t>
  </si>
  <si>
    <t>Froelichia floridana var. campestris</t>
  </si>
  <si>
    <t>Froelichia campestris</t>
  </si>
  <si>
    <t>Froelichia gracilis</t>
  </si>
  <si>
    <t>slender snakecotton</t>
  </si>
  <si>
    <t>Froelichia braunii</t>
  </si>
  <si>
    <t>Oplotheca gracilis</t>
  </si>
  <si>
    <t>Gaillardia pulchella</t>
  </si>
  <si>
    <t>firewheel</t>
  </si>
  <si>
    <t>Gaillardia pulchella var. pulchella</t>
  </si>
  <si>
    <t>Gaillardia drummondii</t>
  </si>
  <si>
    <t>Gaillardia neomexicana</t>
  </si>
  <si>
    <t>Gaillardia villosa</t>
  </si>
  <si>
    <t>Galearis spectabilis</t>
  </si>
  <si>
    <t>showy orchid</t>
  </si>
  <si>
    <t>Galeorchis spectabilis</t>
  </si>
  <si>
    <t>Orchis spectabilis</t>
  </si>
  <si>
    <t>Galium aparine</t>
  </si>
  <si>
    <t>stickywilly</t>
  </si>
  <si>
    <t>Galium agreste var. echinospermum</t>
  </si>
  <si>
    <t>Galium aparine ssp. spurium</t>
  </si>
  <si>
    <t>Galium aparine var. echinospermum</t>
  </si>
  <si>
    <t>Galium aparine var. intermedium</t>
  </si>
  <si>
    <t>Galium aparine var. minor</t>
  </si>
  <si>
    <t>Galium aparine var. vaillantii</t>
  </si>
  <si>
    <t>Galium spurium</t>
  </si>
  <si>
    <t>Galium spurium var. echinospermum</t>
  </si>
  <si>
    <t>Galium spurium var. vaillantii</t>
  </si>
  <si>
    <t>Galium vaillantii</t>
  </si>
  <si>
    <t>Galium asprellum</t>
  </si>
  <si>
    <t>rough bedstraw</t>
  </si>
  <si>
    <t>Galium boreale</t>
  </si>
  <si>
    <t>northern bedstraw</t>
  </si>
  <si>
    <t>Galium boreale ssp. septentrionale</t>
  </si>
  <si>
    <t>Galium boreale var. hyssopifolium</t>
  </si>
  <si>
    <t>Galium boreale var. intermedium</t>
  </si>
  <si>
    <t>Galium boreale var. linearifolium</t>
  </si>
  <si>
    <t>Galium boreale var. scabrum</t>
  </si>
  <si>
    <t>Galium boreale var. typicum</t>
  </si>
  <si>
    <t>Galium hyssopifolium</t>
  </si>
  <si>
    <t>Galium septentrionale</t>
  </si>
  <si>
    <t>Galium strictum</t>
  </si>
  <si>
    <t>Galium circaezans</t>
  </si>
  <si>
    <t>licorice bedstraw</t>
  </si>
  <si>
    <t>Galium circaezans var. hypomalacum</t>
  </si>
  <si>
    <t>Galium concinnum</t>
  </si>
  <si>
    <t>shining bedstraw</t>
  </si>
  <si>
    <t>Galium labradoricum</t>
  </si>
  <si>
    <t>northern bog bedstraw</t>
  </si>
  <si>
    <t>Galium tinctorium var. labradoricum</t>
  </si>
  <si>
    <t>Galium obtusum</t>
  </si>
  <si>
    <t>bluntleaf bedstraw</t>
  </si>
  <si>
    <t>Galium obtusum ssp. obtusum</t>
  </si>
  <si>
    <t>Galium obtusum var. ramosum</t>
  </si>
  <si>
    <t>Galium trifidum var. latifolium</t>
  </si>
  <si>
    <t>Galium tinctorium</t>
  </si>
  <si>
    <t>stiff marsh bedstraw</t>
  </si>
  <si>
    <t>Asperula tinctoria</t>
  </si>
  <si>
    <t>Galium claytonii</t>
  </si>
  <si>
    <t>Galium obtusum var. floridanum</t>
  </si>
  <si>
    <t>Galium tinctorium ssp. floridanum</t>
  </si>
  <si>
    <t>Galium tinctorium var. diversifolium</t>
  </si>
  <si>
    <t>Galium tinctorium var. floridanum</t>
  </si>
  <si>
    <t>Galium trifidum ssp. tinctorium</t>
  </si>
  <si>
    <t>Galium trifidum var. tinctorium</t>
  </si>
  <si>
    <t>Galium trifidum</t>
  </si>
  <si>
    <t>threepetal bedstraw</t>
  </si>
  <si>
    <t>Galium trifidum ssp. trifidum</t>
  </si>
  <si>
    <t>Galium brandegeei</t>
  </si>
  <si>
    <t>Galium triflorum</t>
  </si>
  <si>
    <t>fragrant bedstraw</t>
  </si>
  <si>
    <t>Galium brachiatum</t>
  </si>
  <si>
    <t>Galium pennsylvanicum</t>
  </si>
  <si>
    <t>Galium triflorum var. asprelliforme</t>
  </si>
  <si>
    <t>Galium triflorum var. viridiflorum</t>
  </si>
  <si>
    <t>Gamochaeta purpurea</t>
  </si>
  <si>
    <t>spoonleaf purple everlasting</t>
  </si>
  <si>
    <t>Gnaphalium purpureum</t>
  </si>
  <si>
    <t>Gaura biennis</t>
  </si>
  <si>
    <t>biennial beeblossom</t>
  </si>
  <si>
    <t>Gaura coccinea</t>
  </si>
  <si>
    <t>scarlet beeblossom</t>
  </si>
  <si>
    <t>Gaura coccinea var. arizonica</t>
  </si>
  <si>
    <t>Gaura coccinea var. epilobioides</t>
  </si>
  <si>
    <t>Gaura coccinea var. glabra</t>
  </si>
  <si>
    <t>Gaura coccinea var. parvifolia</t>
  </si>
  <si>
    <t>Gaura coccinea var. typica</t>
  </si>
  <si>
    <t>Gaura glabra</t>
  </si>
  <si>
    <t>Gaura odorata</t>
  </si>
  <si>
    <t>Gaura longiflora</t>
  </si>
  <si>
    <t>longflower beeblossom</t>
  </si>
  <si>
    <t>Gaura biennis var. pitcheri</t>
  </si>
  <si>
    <t>Gaura filiformis</t>
  </si>
  <si>
    <t>Gaura pitcheri</t>
  </si>
  <si>
    <t>Gaura mollis</t>
  </si>
  <si>
    <t>velvetweed</t>
  </si>
  <si>
    <t>Gaura parviflora</t>
  </si>
  <si>
    <t>Gaura parviflora var. lachnocarpa</t>
  </si>
  <si>
    <t>Gaura parviflora var. typica</t>
  </si>
  <si>
    <t>plain gentian</t>
  </si>
  <si>
    <t>Gentiana flavida</t>
  </si>
  <si>
    <t>Gentiana andrewsii</t>
  </si>
  <si>
    <t>closed bottle gentian</t>
  </si>
  <si>
    <t>Gentiana andrewsii var. andrewsii</t>
  </si>
  <si>
    <t>Dasystephana andrewsii</t>
  </si>
  <si>
    <t>Pneumonanthe andrewsii</t>
  </si>
  <si>
    <t>Gentiana andrewsii var. dakotica</t>
  </si>
  <si>
    <t>Dakota gentian</t>
  </si>
  <si>
    <t>Gentiana ×billingtonii</t>
  </si>
  <si>
    <t>Gentiana ×curtisii</t>
  </si>
  <si>
    <t>Gentiana ×pallidocyanea</t>
  </si>
  <si>
    <t>Gentiana puberulenta</t>
  </si>
  <si>
    <t>downy gentian</t>
  </si>
  <si>
    <t>Gentiana puberula</t>
  </si>
  <si>
    <t>Gentianella quinquefolia</t>
  </si>
  <si>
    <t>agueweed</t>
  </si>
  <si>
    <t>Gentianella quinquefolia ssp. occidentalis</t>
  </si>
  <si>
    <t>Gentiana quinquefolia var. occidentalis</t>
  </si>
  <si>
    <t>Gentianella occidentalis</t>
  </si>
  <si>
    <t>greater fringed gentian</t>
  </si>
  <si>
    <t>Anthopogon crinitum</t>
  </si>
  <si>
    <t>Gentiana crinita</t>
  </si>
  <si>
    <t>Gentiana ventricosa</t>
  </si>
  <si>
    <t>Gentianella crinita</t>
  </si>
  <si>
    <t>Gentianella crinita ssp. nevadensis</t>
  </si>
  <si>
    <t>Gentianopsis virgata</t>
  </si>
  <si>
    <t>lesser fringed gentian</t>
  </si>
  <si>
    <t>Gentianopsis virgata ssp. virgata</t>
  </si>
  <si>
    <t>Gentiana crinita var. browniana</t>
  </si>
  <si>
    <t>Gentiana procera</t>
  </si>
  <si>
    <t>Gentianella crinita ssp. procera</t>
  </si>
  <si>
    <t>Gentianopsis procera</t>
  </si>
  <si>
    <t>Geranium bicknellii</t>
  </si>
  <si>
    <t>Bicknell's cranesbill</t>
  </si>
  <si>
    <t>Geranium bicknellii var. longipes</t>
  </si>
  <si>
    <t>Geranium carolinianum var. longipes</t>
  </si>
  <si>
    <t>Geranium nemorale</t>
  </si>
  <si>
    <t>Geranium nemorale var. bicknellii</t>
  </si>
  <si>
    <t>Geranium carolinianum</t>
  </si>
  <si>
    <t>Carolina geranium</t>
  </si>
  <si>
    <t>Geranium carolinianum var. carolinianum</t>
  </si>
  <si>
    <t>Geranium carolinianum var. confertiflorum</t>
  </si>
  <si>
    <t>Geranium maculatum</t>
  </si>
  <si>
    <t>spotted geranium</t>
  </si>
  <si>
    <t>yellow avens</t>
  </si>
  <si>
    <t>Geum aleppicum ssp. strictum</t>
  </si>
  <si>
    <t>Geum aleppicum var. strictum</t>
  </si>
  <si>
    <t>Geum strictum</t>
  </si>
  <si>
    <t>Geum strictum var. decurrens</t>
  </si>
  <si>
    <t>Geum canadense</t>
  </si>
  <si>
    <t>white avens</t>
  </si>
  <si>
    <t>Geum canadense var. canadense</t>
  </si>
  <si>
    <t>Geum canadense var. brevipes</t>
  </si>
  <si>
    <t>Geum canadense var. camporum</t>
  </si>
  <si>
    <t>Geum canadense var. grimesii</t>
  </si>
  <si>
    <t>Geum laciniatum</t>
  </si>
  <si>
    <t>rough avens</t>
  </si>
  <si>
    <t>Geum laciniatum var. trichocarpum</t>
  </si>
  <si>
    <t>Geum triflorum</t>
  </si>
  <si>
    <t>old man's whiskers</t>
  </si>
  <si>
    <t>Geum triflorum var. triflorum</t>
  </si>
  <si>
    <t>Erythrocoma triflora</t>
  </si>
  <si>
    <t>Geum ciliatum var. griseum</t>
  </si>
  <si>
    <t>Sieversia triflora</t>
  </si>
  <si>
    <t>Geum vernum</t>
  </si>
  <si>
    <t>spring avens</t>
  </si>
  <si>
    <t>Stylypus vernus</t>
  </si>
  <si>
    <t>Glandularia canadensis</t>
  </si>
  <si>
    <t>rose mock vervain</t>
  </si>
  <si>
    <t>Glandularia drummondii</t>
  </si>
  <si>
    <t>Glandularia lambertii</t>
  </si>
  <si>
    <t>Verbena canadensis</t>
  </si>
  <si>
    <t>Verbena canadensis var. atroviolacea</t>
  </si>
  <si>
    <t>Verbena canadensis var. compacta</t>
  </si>
  <si>
    <t>Verbena canadensis var. drummondii</t>
  </si>
  <si>
    <t>Verbena canadensis var. grandiflora</t>
  </si>
  <si>
    <t>Verbena canadensis var. lambertii</t>
  </si>
  <si>
    <t>Verbena lambertii</t>
  </si>
  <si>
    <t>Verbena ×oklahomensis</t>
  </si>
  <si>
    <t>Glycyrrhiza lepidota</t>
  </si>
  <si>
    <t>American licorice</t>
  </si>
  <si>
    <t>Glycyrrhiza glutinosa</t>
  </si>
  <si>
    <t>Glycyrrhiza lepidota var. glutinosa</t>
  </si>
  <si>
    <t>Goodyera pubescens</t>
  </si>
  <si>
    <t>downy rattlesnake plantain</t>
  </si>
  <si>
    <t>Peramium pubescens</t>
  </si>
  <si>
    <t>Gratiola neglecta</t>
  </si>
  <si>
    <t>clammy hedgehyssop</t>
  </si>
  <si>
    <t>Gratiola neglecta var. glaberrima</t>
  </si>
  <si>
    <t>Gratiola virginiana</t>
  </si>
  <si>
    <t>roundfruit hedgehyssop</t>
  </si>
  <si>
    <t>Gratiola virginiana var. virginiana</t>
  </si>
  <si>
    <t>Gratiola sphaerocarpa</t>
  </si>
  <si>
    <t>Grindelia papposa</t>
  </si>
  <si>
    <t>Spanish gold</t>
  </si>
  <si>
    <t>Haplopappus ciliatus</t>
  </si>
  <si>
    <t>Prionopsis ciliata</t>
  </si>
  <si>
    <t>Grindelia squarrosa</t>
  </si>
  <si>
    <t>curlycup gumweed</t>
  </si>
  <si>
    <t>Grindelia squarrosa var. squarrosa</t>
  </si>
  <si>
    <t>Gymnocarpium ×brittonianum</t>
  </si>
  <si>
    <t>Gymnocarpium dryopteris</t>
  </si>
  <si>
    <t>western oakfern</t>
  </si>
  <si>
    <t>Dryopteris dryopteris</t>
  </si>
  <si>
    <t>Dryopteris linnaeana</t>
  </si>
  <si>
    <t>Phegopteris dryopteris</t>
  </si>
  <si>
    <t>Thelypteris dryopteris</t>
  </si>
  <si>
    <t>Gymnocarpium ×intermedium</t>
  </si>
  <si>
    <t>Gymnocarpium jessoense</t>
  </si>
  <si>
    <t>Asian oakfern</t>
  </si>
  <si>
    <t>Gymnocarpium jessoense ssp. parvulum</t>
  </si>
  <si>
    <t>Gymnocarpium robertianum</t>
  </si>
  <si>
    <t>scented oakfern</t>
  </si>
  <si>
    <t>Dryopteris robertiana</t>
  </si>
  <si>
    <t>Gymnocarpium dryopteris var. pumilum</t>
  </si>
  <si>
    <t>Phegopteris robertiana</t>
  </si>
  <si>
    <t>Hackelia deflexa</t>
  </si>
  <si>
    <t>nodding stickseed</t>
  </si>
  <si>
    <t>Hackelia deflexa var. americana</t>
  </si>
  <si>
    <t>American stickseed</t>
  </si>
  <si>
    <t>Hackelia americana</t>
  </si>
  <si>
    <t>Hackelia deflexa ssp. americana</t>
  </si>
  <si>
    <t>Lappula americana</t>
  </si>
  <si>
    <t>Lappula deflexa</t>
  </si>
  <si>
    <t>Lappula deflexa ssp. americana</t>
  </si>
  <si>
    <t>Lappula deflexa var. americana</t>
  </si>
  <si>
    <t>Hackelia virginiana</t>
  </si>
  <si>
    <t>beggarslice</t>
  </si>
  <si>
    <t>Lappula virginiana</t>
  </si>
  <si>
    <t>Myosotis virginiana</t>
  </si>
  <si>
    <t>Hasteola suaveolens</t>
  </si>
  <si>
    <t>false Indian plantain</t>
  </si>
  <si>
    <t>Cacalia suaveolens</t>
  </si>
  <si>
    <t>Synosma suaveolens</t>
  </si>
  <si>
    <t>Hedeoma hispida</t>
  </si>
  <si>
    <t>rough false pennyroyal</t>
  </si>
  <si>
    <t>Hedeoma pulegioides</t>
  </si>
  <si>
    <t>American false pennyroyal</t>
  </si>
  <si>
    <t>Cunila pulegioides</t>
  </si>
  <si>
    <t>Melissa pulegioides</t>
  </si>
  <si>
    <t>Ziziphora pulegioides</t>
  </si>
  <si>
    <t>Helenium amarum</t>
  </si>
  <si>
    <t>yellowdicks</t>
  </si>
  <si>
    <t>Helenium amarum var. amarum</t>
  </si>
  <si>
    <t>Helenium tenuifolium</t>
  </si>
  <si>
    <t>Helenium autumnale</t>
  </si>
  <si>
    <t>common sneezeweed</t>
  </si>
  <si>
    <t>Helenium autumnale var. autumnale</t>
  </si>
  <si>
    <t>Helenium autumnale var. canaliculatum</t>
  </si>
  <si>
    <t>Helenium autumnale var. parviflorum</t>
  </si>
  <si>
    <t>Helenium canaliculatum</t>
  </si>
  <si>
    <t>Helenium latifolium</t>
  </si>
  <si>
    <t>Helenium parviflorum</t>
  </si>
  <si>
    <t>Helianthemum bicknellii</t>
  </si>
  <si>
    <t>hoary frostweed</t>
  </si>
  <si>
    <t>Crocanthemum bicknellii</t>
  </si>
  <si>
    <t>Crocanthemum majus</t>
  </si>
  <si>
    <t>Helianthemum canadense</t>
  </si>
  <si>
    <t>longbranch frostweed</t>
  </si>
  <si>
    <t>Crocanthemum canadense</t>
  </si>
  <si>
    <t>Helianthemum canadense var. sabulonum</t>
  </si>
  <si>
    <t>Helianthus annuus</t>
  </si>
  <si>
    <t>common sunflower</t>
  </si>
  <si>
    <t>Helianthus annuus ssp. jaegeri</t>
  </si>
  <si>
    <t>Helianthus annuus ssp. lenticularis</t>
  </si>
  <si>
    <t>Helianthus annuus ssp. texanus</t>
  </si>
  <si>
    <t>Helianthus annuus var. lenticularis</t>
  </si>
  <si>
    <t>Helianthus annuus var. macrocarpus</t>
  </si>
  <si>
    <t>Helianthus annuus var. texanus</t>
  </si>
  <si>
    <t>Helianthus aridus</t>
  </si>
  <si>
    <t>Helianthus lenticularis</t>
  </si>
  <si>
    <t>Helianthus decapetalus</t>
  </si>
  <si>
    <t>thinleaf sunflower</t>
  </si>
  <si>
    <t>Helianthus scrophulariifolius</t>
  </si>
  <si>
    <t>Helianthus tracheliifolius</t>
  </si>
  <si>
    <t>Helianthus divaricatus</t>
  </si>
  <si>
    <t>woodland sunflower</t>
  </si>
  <si>
    <t>Helianthus divaricatus var. angustifolius</t>
  </si>
  <si>
    <t>Helianthus ×doronicoides</t>
  </si>
  <si>
    <t>Helianthus pilosus</t>
  </si>
  <si>
    <t>giant sunflower</t>
  </si>
  <si>
    <t>Helianthus alienus</t>
  </si>
  <si>
    <t>Helianthus borealis</t>
  </si>
  <si>
    <t>Helianthus giganteus ssp. alienus</t>
  </si>
  <si>
    <t>Helianthus giganteus var. subtuberosus</t>
  </si>
  <si>
    <t>Helianthus nuttallii var. subtuberosus</t>
  </si>
  <si>
    <t>Helianthus subtuberosus</t>
  </si>
  <si>
    <t>Helianthus validus</t>
  </si>
  <si>
    <t>Helianthus grosseserratus</t>
  </si>
  <si>
    <t>sawtooth sunflower</t>
  </si>
  <si>
    <t>Helianthus grosseserratus ssp. maximus</t>
  </si>
  <si>
    <t>Helianthus grosseserratus var. hypoleucus</t>
  </si>
  <si>
    <t>Helianthus instabilis</t>
  </si>
  <si>
    <t>Helianthus hirsutus</t>
  </si>
  <si>
    <t>hairy sunflower</t>
  </si>
  <si>
    <t>Helianthus hirsutus var. stenophyllus</t>
  </si>
  <si>
    <t>Helianthus hirsutus var. trachyphyllus</t>
  </si>
  <si>
    <t>Helianthus stenophyllus</t>
  </si>
  <si>
    <t>Helianthus ×intermedius</t>
  </si>
  <si>
    <t>Helianthus ×laetiflorus</t>
  </si>
  <si>
    <t>cheerful sunflower</t>
  </si>
  <si>
    <t>Helianthus scaberrimus</t>
  </si>
  <si>
    <t>Maximilian sunflower</t>
  </si>
  <si>
    <t>Helianthus dalyi</t>
  </si>
  <si>
    <t>Helianthus mollis</t>
  </si>
  <si>
    <t>ashy sunflower</t>
  </si>
  <si>
    <t>Helianthus mollis var. cordatus</t>
  </si>
  <si>
    <t>Helianthus nuttallii</t>
  </si>
  <si>
    <t>Nuttall's sunflower</t>
  </si>
  <si>
    <t>Helianthus nuttallii ssp. rydbergii</t>
  </si>
  <si>
    <t>Rydberg's sunflower</t>
  </si>
  <si>
    <t>Helianthus nuttallii var. rydbergii</t>
  </si>
  <si>
    <t>Helianthus rydbergii</t>
  </si>
  <si>
    <t>Helianthus occidentalis</t>
  </si>
  <si>
    <t>fewleaf sunflower</t>
  </si>
  <si>
    <t>Helianthus occidentalis ssp. occidentalis</t>
  </si>
  <si>
    <t>Helianthus dowellianus</t>
  </si>
  <si>
    <t>Helianthus occidentalis var. dowellianus</t>
  </si>
  <si>
    <t>Helianthus pauciflorus</t>
  </si>
  <si>
    <t>stiff sunflower</t>
  </si>
  <si>
    <t>Helianthus pauciflorus ssp. pauciflorus</t>
  </si>
  <si>
    <t>Helianthus laetiflorus var. rigidus</t>
  </si>
  <si>
    <t>Helianthus rigidus</t>
  </si>
  <si>
    <t>Helianthus pauciflorus ssp. subrhomboideus</t>
  </si>
  <si>
    <t>Helianthus laetiflorus var. subrhomboideus</t>
  </si>
  <si>
    <t>Helianthus pauciflorus var. subrhomboideus</t>
  </si>
  <si>
    <t>Helianthus rigidus ssp. laetiflorus</t>
  </si>
  <si>
    <t>Helianthus rigidus ssp. subrhomboideus</t>
  </si>
  <si>
    <t>Helianthus rigidus var. subrhomboideus</t>
  </si>
  <si>
    <t>Helianthus subrhomboideus</t>
  </si>
  <si>
    <t>Helianthus petiolaris</t>
  </si>
  <si>
    <t>prairie sunflower</t>
  </si>
  <si>
    <t>Helianthus petiolaris ssp. petiolaris</t>
  </si>
  <si>
    <t>Helianthus strumosus</t>
  </si>
  <si>
    <t>paleleaf woodland sunflower</t>
  </si>
  <si>
    <t>Helianthus montanus</t>
  </si>
  <si>
    <t>Helianthus saxicola</t>
  </si>
  <si>
    <t>Helianthus tuberosus</t>
  </si>
  <si>
    <t>Jerusalem artichoke</t>
  </si>
  <si>
    <t>Helianthus tomentosus</t>
  </si>
  <si>
    <t>Helianthus tuberosus var. subcanescens</t>
  </si>
  <si>
    <t>Heliopsis helianthoides</t>
  </si>
  <si>
    <t>smooth oxeye</t>
  </si>
  <si>
    <t>Heliopsis helianthoides var. occidentalis</t>
  </si>
  <si>
    <t>Heliopsis helianthoides ssp. occidentalis</t>
  </si>
  <si>
    <t>Heliopsis helianthoides var. scabra</t>
  </si>
  <si>
    <t>Heliopsis helianthoides ssp. scabra</t>
  </si>
  <si>
    <t>Heliopsis minor</t>
  </si>
  <si>
    <t>Heliopsis scabra</t>
  </si>
  <si>
    <t>Heliotropium tenellum</t>
  </si>
  <si>
    <t>pasture heliotrope</t>
  </si>
  <si>
    <t>Lithococca tenella</t>
  </si>
  <si>
    <t>Hepatica nobilis</t>
  </si>
  <si>
    <t>hepatica</t>
  </si>
  <si>
    <t>Hepatica nobilis var. acuta</t>
  </si>
  <si>
    <t>sharplobe hepatica</t>
  </si>
  <si>
    <t>Anemone acutiloba</t>
  </si>
  <si>
    <t>Hepatica acuta</t>
  </si>
  <si>
    <t>Hepatica acutiloba</t>
  </si>
  <si>
    <t>Hepatica triloba var. acuta</t>
  </si>
  <si>
    <t>Hepatica nobilis var. obtusa</t>
  </si>
  <si>
    <t>roundlobe hepatica</t>
  </si>
  <si>
    <t>Anemone americana</t>
  </si>
  <si>
    <t>Anemone hepatica</t>
  </si>
  <si>
    <t>Hepatica americana</t>
  </si>
  <si>
    <t>Hepatica hepatica</t>
  </si>
  <si>
    <t>Hepatica triloba var. americana</t>
  </si>
  <si>
    <t>Heracleum maximum</t>
  </si>
  <si>
    <t>common cowparsnip</t>
  </si>
  <si>
    <t>Heracleum lanatum</t>
  </si>
  <si>
    <t>Heracleum sphondylium ssp. montanum</t>
  </si>
  <si>
    <t>Heracleum sphondylium var. lanatum</t>
  </si>
  <si>
    <t>Heteranthera dubia</t>
  </si>
  <si>
    <t>grassleaf mudplantain</t>
  </si>
  <si>
    <t>Heteranthera graminea</t>
  </si>
  <si>
    <t>Heteranthera liebmannii</t>
  </si>
  <si>
    <t>Zosterella dubia</t>
  </si>
  <si>
    <t>Zosterella longituba</t>
  </si>
  <si>
    <t>Heteranthera limosa</t>
  </si>
  <si>
    <t>blue mudplantain</t>
  </si>
  <si>
    <t>Pontederia limosa</t>
  </si>
  <si>
    <t>Heteranthera reniformis</t>
  </si>
  <si>
    <t>kidneyleaf mudplantain</t>
  </si>
  <si>
    <t>Heterotheca camporum</t>
  </si>
  <si>
    <t>lemonyellow false goldenaster</t>
  </si>
  <si>
    <t>Heterotheca camporum var. camporum</t>
  </si>
  <si>
    <t>Chrysopsis camporum</t>
  </si>
  <si>
    <t>Chrysopsis villosa var. camporum</t>
  </si>
  <si>
    <t>Heterotheca villosa var. camporum</t>
  </si>
  <si>
    <t>Heterotheca stenophylla</t>
  </si>
  <si>
    <t>stiffleaf false goldenaster</t>
  </si>
  <si>
    <t>Heterotheca stenophylla var. stenophylla</t>
  </si>
  <si>
    <t>Chrysopsis hispida var. stenophylla</t>
  </si>
  <si>
    <t>Chrysopsis scabrifolia</t>
  </si>
  <si>
    <t>Chrysopsis stenophylla</t>
  </si>
  <si>
    <t>Chrysopsis villosa var. stenophylla</t>
  </si>
  <si>
    <t>Heterotheca subaxillaris</t>
  </si>
  <si>
    <t>camphorweed</t>
  </si>
  <si>
    <t>Chrysopsis scabra</t>
  </si>
  <si>
    <t>Heterotheca lamarckii</t>
  </si>
  <si>
    <t>Heterotheca latifolia</t>
  </si>
  <si>
    <t>Heterotheca latifolia var. arkansana</t>
  </si>
  <si>
    <t>Heterotheca latifolia var. macgregoris</t>
  </si>
  <si>
    <t>Heterotheca psammophila</t>
  </si>
  <si>
    <t>Heterotheca scabra</t>
  </si>
  <si>
    <t>Heterotheca subaxillaris var. latifolia</t>
  </si>
  <si>
    <t>Heterotheca subaxillaris var. petiolaris</t>
  </si>
  <si>
    <t>Heterotheca subaxillaris var. procumbens</t>
  </si>
  <si>
    <t>Heterotheca subaxillaris var. psammophila</t>
  </si>
  <si>
    <t>Heterotheca villosa</t>
  </si>
  <si>
    <t>hairy false goldenaster</t>
  </si>
  <si>
    <t>Heterotheca villosa var. minor</t>
  </si>
  <si>
    <t>Chrysopsis arida</t>
  </si>
  <si>
    <t>Chrysopsis bakeri</t>
  </si>
  <si>
    <t>Chrysopsis columbiana</t>
  </si>
  <si>
    <t>Chrysopsis hispida</t>
  </si>
  <si>
    <t>Chrysopsis villosa var. hispida</t>
  </si>
  <si>
    <t>Chrysopsis wisconsinensis</t>
  </si>
  <si>
    <t>Heterotheca villosa var. hispida</t>
  </si>
  <si>
    <t>Heterotheca wisconsinensis</t>
  </si>
  <si>
    <t>Heterotheca villosa var. villosa</t>
  </si>
  <si>
    <t>Chrysopsis mollis</t>
  </si>
  <si>
    <t>Chrysopsis villosa</t>
  </si>
  <si>
    <t>Heuchera americana</t>
  </si>
  <si>
    <t>American alumroot</t>
  </si>
  <si>
    <t>Heuchera americana var. hirsuticaulis</t>
  </si>
  <si>
    <t>Heuchera americana var. interior</t>
  </si>
  <si>
    <t>Heuchera hirsuticaulis</t>
  </si>
  <si>
    <t>Heuchera richardsonii</t>
  </si>
  <si>
    <t>Richardson's alumroot</t>
  </si>
  <si>
    <t>Heuchera hispida</t>
  </si>
  <si>
    <t>Heuchera richardsonii var. affinis</t>
  </si>
  <si>
    <t>Heuchera richardsonii var. grayana</t>
  </si>
  <si>
    <t>Heuchera richardsonii var. hispidior</t>
  </si>
  <si>
    <t>halberdleaf rosemallow</t>
  </si>
  <si>
    <t>Hibiscus militaris</t>
  </si>
  <si>
    <t>Hieracium kalmii</t>
  </si>
  <si>
    <t>Kalm's hawkweed</t>
  </si>
  <si>
    <t>Hieracium kalmii var. fasciculatum</t>
  </si>
  <si>
    <t>Canadian hawkweed</t>
  </si>
  <si>
    <t>Hieracium canadense var. fasciculatum</t>
  </si>
  <si>
    <t>Hieracium kalmii var. kalmii</t>
  </si>
  <si>
    <t>Hieracium canadense var. kalmii</t>
  </si>
  <si>
    <t>Hieracium longipilum</t>
  </si>
  <si>
    <t>hairy hawkweed</t>
  </si>
  <si>
    <t>Hieracium scabrum</t>
  </si>
  <si>
    <t>rough hawkweed</t>
  </si>
  <si>
    <t>Hieracium scabrum var. intonsum</t>
  </si>
  <si>
    <t>Hieracium scabrum var. scabrum</t>
  </si>
  <si>
    <t>Hieracium umbellatum</t>
  </si>
  <si>
    <t>narrowleaf hawkweed</t>
  </si>
  <si>
    <t>Hieracium columbianum</t>
  </si>
  <si>
    <t>Hieracium scabriusculum</t>
  </si>
  <si>
    <t>Hieracium scabriusculum var. columbianum</t>
  </si>
  <si>
    <t>Hieracium scabriusculum var. perhirsutum</t>
  </si>
  <si>
    <t>Hieracium scabriusculum var. saximontanum</t>
  </si>
  <si>
    <t>Hieracium scabriusculum var. scabrum</t>
  </si>
  <si>
    <t>Hippuris vulgaris</t>
  </si>
  <si>
    <t>common mare's-tail</t>
  </si>
  <si>
    <t>Houstonia purpurea</t>
  </si>
  <si>
    <t>Venus' pride</t>
  </si>
  <si>
    <t>Houstonia purpurea var. purpurea</t>
  </si>
  <si>
    <t>Hedyotis purpurea</t>
  </si>
  <si>
    <t>Houstonia purpurea var. pubescens</t>
  </si>
  <si>
    <t>Houstonia pusilla</t>
  </si>
  <si>
    <t>tiny bluet</t>
  </si>
  <si>
    <t>Hedyotis caerulea var. minima</t>
  </si>
  <si>
    <t>Hedyotis caerulea var. minor</t>
  </si>
  <si>
    <t>Hedyotis crassifolia</t>
  </si>
  <si>
    <t>Hedyotis minima</t>
  </si>
  <si>
    <t>Houstonia minima</t>
  </si>
  <si>
    <t>Houstonia patens</t>
  </si>
  <si>
    <t>Humulus lupulus</t>
  </si>
  <si>
    <t>common hop</t>
  </si>
  <si>
    <t>Humulus lupulus var. lupuloides</t>
  </si>
  <si>
    <t>Humulus americanus</t>
  </si>
  <si>
    <t>Humulus lupulus ssp. americanus</t>
  </si>
  <si>
    <t>Humulus lupulus var. pubescens</t>
  </si>
  <si>
    <t>Huperzia ×bartleyi</t>
  </si>
  <si>
    <t>Lycopodium ×bartleyi</t>
  </si>
  <si>
    <t>Huperzia lucidula</t>
  </si>
  <si>
    <t>shining clubmoss</t>
  </si>
  <si>
    <t>Huperzia lucidula var. tryonii</t>
  </si>
  <si>
    <t>Huperzia selago ssp. lucidula</t>
  </si>
  <si>
    <t>Lycopodium lucidulum</t>
  </si>
  <si>
    <t>Lycopodium lucidulum var. tryonii</t>
  </si>
  <si>
    <t>Lycopodium reflexum</t>
  </si>
  <si>
    <t>Urostachys lucidulus</t>
  </si>
  <si>
    <t>Huperzia porophila</t>
  </si>
  <si>
    <t>rock clubmoss</t>
  </si>
  <si>
    <t>Huperzia selago var. patens</t>
  </si>
  <si>
    <t>Huperzia selago var. porophila</t>
  </si>
  <si>
    <t>Lycopodium lucidulum var. porophilum</t>
  </si>
  <si>
    <t>Lycopodium porophilum</t>
  </si>
  <si>
    <t>Lycopodium selago ssp. patens</t>
  </si>
  <si>
    <t>Lycopodium selago var. patens</t>
  </si>
  <si>
    <t>Lycopodium selago var. porophilum</t>
  </si>
  <si>
    <t>Urostachys lucidulus var. porophilus</t>
  </si>
  <si>
    <t>Urostachys porophilus</t>
  </si>
  <si>
    <t>Hybanthus concolor</t>
  </si>
  <si>
    <t>eastern greenviolet</t>
  </si>
  <si>
    <t>Cubelium concolor</t>
  </si>
  <si>
    <t>Viola concolor</t>
  </si>
  <si>
    <t>Hydrastis canadensis</t>
  </si>
  <si>
    <t>goldenseal</t>
  </si>
  <si>
    <t>Hydrophyllum appendiculatum</t>
  </si>
  <si>
    <t>great waterleaf</t>
  </si>
  <si>
    <t>Decemium appendiculatum</t>
  </si>
  <si>
    <t>Hydrophyllum canadense</t>
  </si>
  <si>
    <t>bluntleaf waterleaf</t>
  </si>
  <si>
    <t>Hydrophyllum virginianum</t>
  </si>
  <si>
    <t>eastern waterleaf</t>
  </si>
  <si>
    <t>Hydrophyllum virginianum var. virginianum</t>
  </si>
  <si>
    <t>Hypericum ascyron</t>
  </si>
  <si>
    <t>great St. Johnswort</t>
  </si>
  <si>
    <t>Hypericum pyramidatum</t>
  </si>
  <si>
    <t>Hypericum boreale</t>
  </si>
  <si>
    <t>northern St. Johnswort</t>
  </si>
  <si>
    <t>Hypericum mutilum ssp. boreale</t>
  </si>
  <si>
    <t>Hypericum canadense</t>
  </si>
  <si>
    <t>lesser Canadian St. Johnswort</t>
  </si>
  <si>
    <t>Hypericum canadense var. galiiforme</t>
  </si>
  <si>
    <t>Hypericum canadense var. magninsulare</t>
  </si>
  <si>
    <t>Hypericum drummondii</t>
  </si>
  <si>
    <t>nits and lice</t>
  </si>
  <si>
    <t>Sarothra drummondii</t>
  </si>
  <si>
    <t>Hypericum ellipticum</t>
  </si>
  <si>
    <t>pale St. Johnswort</t>
  </si>
  <si>
    <t>Hypericum gentianoides</t>
  </si>
  <si>
    <t>orangegrass</t>
  </si>
  <si>
    <t>Sarothra gentianoides</t>
  </si>
  <si>
    <t>Hypericum majus</t>
  </si>
  <si>
    <t>large St. Johnswort</t>
  </si>
  <si>
    <t>Hypericum canadense var. majus</t>
  </si>
  <si>
    <t>Hypericum mutilum</t>
  </si>
  <si>
    <t>dwarf St. Johnswort</t>
  </si>
  <si>
    <t>Hypericum mutilum var. latisepalum</t>
  </si>
  <si>
    <t>Hypericum mutilum var. parviflorum</t>
  </si>
  <si>
    <t>Hypericum punctatum</t>
  </si>
  <si>
    <t>spotted St. Johnswort</t>
  </si>
  <si>
    <t>Hypericum subpetiolatum</t>
  </si>
  <si>
    <t>Hypericum sphaerocarpum</t>
  </si>
  <si>
    <t>roundseed St. Johnswort</t>
  </si>
  <si>
    <t>Hypericum sphaerocarpum var. turgidum</t>
  </si>
  <si>
    <t>Hypericum turgidum</t>
  </si>
  <si>
    <t>Hypoxis hirsuta</t>
  </si>
  <si>
    <t>common goldstar</t>
  </si>
  <si>
    <t>Hypoxis decumbens</t>
  </si>
  <si>
    <t>Ornithogalum hirsutum</t>
  </si>
  <si>
    <t>Impatiens capensis</t>
  </si>
  <si>
    <t>jewelweed</t>
  </si>
  <si>
    <t>Impatiens biflora</t>
  </si>
  <si>
    <t>Impatiens fulva</t>
  </si>
  <si>
    <t>Impatiens noli-tangere ssp. biflora</t>
  </si>
  <si>
    <t>Impatiens nortonii</t>
  </si>
  <si>
    <t>Impatiens pallida</t>
  </si>
  <si>
    <t>pale touch-me-not</t>
  </si>
  <si>
    <t>Iodanthus pinnatifidus</t>
  </si>
  <si>
    <t>purplerocket</t>
  </si>
  <si>
    <t>Hesperis pinnatifidus</t>
  </si>
  <si>
    <t>Iodanthus hesperidioides</t>
  </si>
  <si>
    <t>Thelypodium pinnatifidum</t>
  </si>
  <si>
    <t>Ionactis linariifolius</t>
  </si>
  <si>
    <t>flaxleaf whitetop aster</t>
  </si>
  <si>
    <t>Aster linariifolius</t>
  </si>
  <si>
    <t>Aster linariifolius var. victorinii</t>
  </si>
  <si>
    <t>Ipomoea cristulata</t>
  </si>
  <si>
    <t>Trans-Pecos morning-glory</t>
  </si>
  <si>
    <t>Ipomoea hederacea</t>
  </si>
  <si>
    <t>ivyleaf morning-glory</t>
  </si>
  <si>
    <t>Ipomoea barbigera</t>
  </si>
  <si>
    <t>Ipomoea desertorum</t>
  </si>
  <si>
    <t>Ipomoea hederacea var. integriuscula</t>
  </si>
  <si>
    <t>Ipomoea hirsutula</t>
  </si>
  <si>
    <t>Ipomoea nil</t>
  </si>
  <si>
    <t>Pharbitis barbigera</t>
  </si>
  <si>
    <t>Pharbitis hederacea</t>
  </si>
  <si>
    <t>Ipomoea lacunosa</t>
  </si>
  <si>
    <t>whitestar</t>
  </si>
  <si>
    <t>Ipomoea pandurata</t>
  </si>
  <si>
    <t>man of the earth</t>
  </si>
  <si>
    <t>Ipomoea pandurata var. rubescens</t>
  </si>
  <si>
    <t>Ipomopsis rubra</t>
  </si>
  <si>
    <t>standing-cypress</t>
  </si>
  <si>
    <t>Gilia rubra</t>
  </si>
  <si>
    <t>Iris virginica</t>
  </si>
  <si>
    <t>Virginia iris</t>
  </si>
  <si>
    <t>Iris virginica var. shrevei</t>
  </si>
  <si>
    <t>Shreve's iris</t>
  </si>
  <si>
    <t>Iris versicolor var. blandescens</t>
  </si>
  <si>
    <t>Iris versicolor var. shrevei</t>
  </si>
  <si>
    <t>Iva annua</t>
  </si>
  <si>
    <t>annual marsh elder</t>
  </si>
  <si>
    <t>Iva annua var. annua</t>
  </si>
  <si>
    <t>Iva ciliata</t>
  </si>
  <si>
    <t>Jeffersonia diphylla</t>
  </si>
  <si>
    <t>twinleaf</t>
  </si>
  <si>
    <t>Justicia americana</t>
  </si>
  <si>
    <t>American water-willow</t>
  </si>
  <si>
    <t>Dianthera americana</t>
  </si>
  <si>
    <t>Dianthera americana var. subcoriacea</t>
  </si>
  <si>
    <t>Justicia americana var. subcoriacea</t>
  </si>
  <si>
    <t>Justicia mortuifluminis</t>
  </si>
  <si>
    <t>Justicia umbratilis</t>
  </si>
  <si>
    <t>Krigia biflora</t>
  </si>
  <si>
    <t>twoflower dwarfdandelion</t>
  </si>
  <si>
    <t>Krigia biflora var. biflora</t>
  </si>
  <si>
    <t>Cynthia virginica</t>
  </si>
  <si>
    <t>Hyoseris biflora</t>
  </si>
  <si>
    <t>Krigia amplexicaulis</t>
  </si>
  <si>
    <t>Krigia biflora ssp. glandulifera</t>
  </si>
  <si>
    <t>Krigia dandelion</t>
  </si>
  <si>
    <t>potato dwarfdandelion</t>
  </si>
  <si>
    <t>Cynthia dandelion</t>
  </si>
  <si>
    <t>Krigia virginica</t>
  </si>
  <si>
    <t>Virginia dwarfdandelion</t>
  </si>
  <si>
    <t>Hyoseris virginica</t>
  </si>
  <si>
    <t>Lactuca biennis</t>
  </si>
  <si>
    <t>tall blue lettuce</t>
  </si>
  <si>
    <t>Lactuca spicata</t>
  </si>
  <si>
    <t>Lactuca spicata var. integrifolia</t>
  </si>
  <si>
    <t>Mulgedium spicatum</t>
  </si>
  <si>
    <t>Mulgedium spicatum var. integrifolium</t>
  </si>
  <si>
    <t>Lactuca canadensis</t>
  </si>
  <si>
    <t>Canada lettuce</t>
  </si>
  <si>
    <t>Lactuca canadensis var. integrifolia</t>
  </si>
  <si>
    <t>Lactuca canadensis var. latifolia</t>
  </si>
  <si>
    <t>Lactuca canadensis var. longifolia</t>
  </si>
  <si>
    <t>Lactuca canadensis var. obovata</t>
  </si>
  <si>
    <t>Lactuca canadensis var. typica</t>
  </si>
  <si>
    <t>Lactuca sagittifolia</t>
  </si>
  <si>
    <t>Lactuca steelei</t>
  </si>
  <si>
    <t>Lactuca floridana</t>
  </si>
  <si>
    <t>woodland lettuce</t>
  </si>
  <si>
    <t>Lactuca floridana var. floridana</t>
  </si>
  <si>
    <t>Mulgedium floridanum</t>
  </si>
  <si>
    <t>Lactuca floridana var. villosa</t>
  </si>
  <si>
    <t>Lactuca villosa</t>
  </si>
  <si>
    <t>Mulgedium villosum</t>
  </si>
  <si>
    <t>Lactuca ludoviciana</t>
  </si>
  <si>
    <t>biannual lettuce</t>
  </si>
  <si>
    <t>Lactuca campestris</t>
  </si>
  <si>
    <t>Lactuca campestris var. typica</t>
  </si>
  <si>
    <t>Lactuca tatarica</t>
  </si>
  <si>
    <t>blue lettuce</t>
  </si>
  <si>
    <t>Lactuca tatarica var. pulchella</t>
  </si>
  <si>
    <t>Lactuca oblongifolia</t>
  </si>
  <si>
    <t>Lactuca pulchella</t>
  </si>
  <si>
    <t>Lactuca tatarica ssp. pulchella</t>
  </si>
  <si>
    <t>Lactuca tatarica var. heterophylla</t>
  </si>
  <si>
    <t>Mulgedium pulchellum</t>
  </si>
  <si>
    <t>Sonchus tataricus</t>
  </si>
  <si>
    <t>Laportea canadensis</t>
  </si>
  <si>
    <t>Canadian woodnettle</t>
  </si>
  <si>
    <t>Urtica canadensis</t>
  </si>
  <si>
    <t>Urticastrum divaricatum</t>
  </si>
  <si>
    <t>Lappula occidentalis</t>
  </si>
  <si>
    <t>flatspine stickseed</t>
  </si>
  <si>
    <t>Lappula occidentalis var. cupulata</t>
  </si>
  <si>
    <t>Lappula redowskii var. cupulata</t>
  </si>
  <si>
    <t>Lappula redowskii var. texana</t>
  </si>
  <si>
    <t>Lappula texana</t>
  </si>
  <si>
    <t>Lappula texana var. coronata</t>
  </si>
  <si>
    <t>Lappula texana var. heterosperma</t>
  </si>
  <si>
    <t>Lappula texana var. homosperma</t>
  </si>
  <si>
    <t>Lappula occidentalis var. occidentalis</t>
  </si>
  <si>
    <t>Lappula echinata var. occidentalis</t>
  </si>
  <si>
    <t>Lappula redowskii</t>
  </si>
  <si>
    <t>Lappula redowskii var. desertorum</t>
  </si>
  <si>
    <t>Lappula redowskii var. occidentalis</t>
  </si>
  <si>
    <t>Lappula redowskii var. redowskii</t>
  </si>
  <si>
    <t>Lathyrus ochroleucus</t>
  </si>
  <si>
    <t>cream pea</t>
  </si>
  <si>
    <t>Lathyrus palustris</t>
  </si>
  <si>
    <t>marsh pea</t>
  </si>
  <si>
    <t>Lathyrus myrtifolius</t>
  </si>
  <si>
    <t>Lathyrus palustris ssp. pilosus</t>
  </si>
  <si>
    <t>Lathyrus palustris var. linearifolius</t>
  </si>
  <si>
    <t>Lathyrus palustris var. macranthus</t>
  </si>
  <si>
    <t>Lathyrus palustris var. meridionalis</t>
  </si>
  <si>
    <t>Lathyrus palustris var. myrtifolius</t>
  </si>
  <si>
    <t>Lathyrus palustris var. pilosus</t>
  </si>
  <si>
    <t>Lathyrus palustris var. retusus</t>
  </si>
  <si>
    <t>Orobus myrtifolius</t>
  </si>
  <si>
    <t>Lathyrus venosus</t>
  </si>
  <si>
    <t>veiny pea</t>
  </si>
  <si>
    <t>Lathyrus oreophilus</t>
  </si>
  <si>
    <t>Lathyrus venosus ssp. arkansanus</t>
  </si>
  <si>
    <t>Lathyrus venosus var. arkansanus</t>
  </si>
  <si>
    <t>Lathyrus venosus var. intonsus</t>
  </si>
  <si>
    <t>Lathyrus venosus var. meridionalis</t>
  </si>
  <si>
    <t>Lechea intermedia</t>
  </si>
  <si>
    <t>largepod pinweed</t>
  </si>
  <si>
    <t>Lechea intermedia var. intermedia</t>
  </si>
  <si>
    <t>Lechea mucronata</t>
  </si>
  <si>
    <t>hairy pinweed</t>
  </si>
  <si>
    <t>Lechea minor var. villosa</t>
  </si>
  <si>
    <t>Lechea villosa</t>
  </si>
  <si>
    <t>Lechea villosa var. macrotheca</t>
  </si>
  <si>
    <t>Lechea villosa var. schaffneri</t>
  </si>
  <si>
    <t>Lechea racemulosa</t>
  </si>
  <si>
    <t>Illinois pinweed</t>
  </si>
  <si>
    <t>Lechea stricta</t>
  </si>
  <si>
    <t>prairie pinweed</t>
  </si>
  <si>
    <t>Lechea tenuifolia</t>
  </si>
  <si>
    <t>narrowleaf pinweed</t>
  </si>
  <si>
    <t>Lechea tenuifolia var. occidentalis</t>
  </si>
  <si>
    <t>Lemna aequinoctialis</t>
  </si>
  <si>
    <t>lesser duckweed</t>
  </si>
  <si>
    <t>Lemna angolensis</t>
  </si>
  <si>
    <t>Lemna paucicostata</t>
  </si>
  <si>
    <t>Lemna trinervis</t>
  </si>
  <si>
    <t>Lemna minor</t>
  </si>
  <si>
    <t>common duckweed</t>
  </si>
  <si>
    <t>Lemna cyclostasa</t>
  </si>
  <si>
    <t>Lemna minima</t>
  </si>
  <si>
    <t>Lemna obscura</t>
  </si>
  <si>
    <t>little duckweed</t>
  </si>
  <si>
    <t>Lemna minor var. obscura</t>
  </si>
  <si>
    <t>Lemna perpusilla</t>
  </si>
  <si>
    <t>minute duckweed</t>
  </si>
  <si>
    <t>Lemna perpusilla var. trinervis</t>
  </si>
  <si>
    <t>Lemna trisulca</t>
  </si>
  <si>
    <t>star duckweed</t>
  </si>
  <si>
    <t>Lemna turionifera</t>
  </si>
  <si>
    <t>turion duckweed</t>
  </si>
  <si>
    <t>Lepidium densiflorum</t>
  </si>
  <si>
    <t>common pepperweed</t>
  </si>
  <si>
    <t>Lepidium densiflorum var. densiflorum</t>
  </si>
  <si>
    <t>Lepidium densiflorum var. typicum</t>
  </si>
  <si>
    <t>Lepidium neglectum</t>
  </si>
  <si>
    <t>Lepidium texanum</t>
  </si>
  <si>
    <t>Lepidium virginicum</t>
  </si>
  <si>
    <t>Virginia pepperweed</t>
  </si>
  <si>
    <t>Lepidium virginicum var. virginicum</t>
  </si>
  <si>
    <t>Lepidium virginicum var. typicum</t>
  </si>
  <si>
    <t>Lespedeza capitata</t>
  </si>
  <si>
    <t>roundhead lespedeza</t>
  </si>
  <si>
    <t>Lespedeza bicknellii</t>
  </si>
  <si>
    <t>Lespedeza capitata var. stenophylla</t>
  </si>
  <si>
    <t>Lespedeza capitata var. velutina</t>
  </si>
  <si>
    <t>Lespedeza capitata var. vulgaris</t>
  </si>
  <si>
    <t>Lespedeza leptostachya</t>
  </si>
  <si>
    <t>prairie lespedeza</t>
  </si>
  <si>
    <t>Lespedeza ×nuttallii</t>
  </si>
  <si>
    <t>Lespedeza repens</t>
  </si>
  <si>
    <t>creeping lespedeza</t>
  </si>
  <si>
    <t>Hedysarum repens</t>
  </si>
  <si>
    <t>Lespedeza ×simulata</t>
  </si>
  <si>
    <t>Lespedeza violacea</t>
  </si>
  <si>
    <t>violet lespedeza</t>
  </si>
  <si>
    <t>Hedysarum violaceum</t>
  </si>
  <si>
    <t>Lespedeza intermedia</t>
  </si>
  <si>
    <t>Lespedeza prairea</t>
  </si>
  <si>
    <t>Lespedeza virginica</t>
  </si>
  <si>
    <t>slender lespedeza</t>
  </si>
  <si>
    <t>Lesquerella ludoviciana</t>
  </si>
  <si>
    <t>foothill bladderpod</t>
  </si>
  <si>
    <t>Leucospora multifida</t>
  </si>
  <si>
    <t>narrowleaf paleseed</t>
  </si>
  <si>
    <t>Conobea multifida</t>
  </si>
  <si>
    <t>Liatris aspera</t>
  </si>
  <si>
    <t>tall blazing star</t>
  </si>
  <si>
    <t>Liatris aspera var. aspera</t>
  </si>
  <si>
    <t>Lacinaria aspera</t>
  </si>
  <si>
    <t>Liatris cylindracea</t>
  </si>
  <si>
    <t>Ontario blazing star</t>
  </si>
  <si>
    <t>Lacinaria cylindracea</t>
  </si>
  <si>
    <t>Liatris ligulistylis</t>
  </si>
  <si>
    <t>Rocky Mountain blazing star</t>
  </si>
  <si>
    <t>Lacinaria ligulistylis</t>
  </si>
  <si>
    <t>Liatris punctata</t>
  </si>
  <si>
    <t>dotted blazing star</t>
  </si>
  <si>
    <t>Liatris punctata var. nebraskana</t>
  </si>
  <si>
    <t>Nebraska blazing star</t>
  </si>
  <si>
    <t>Liatris punctata var. punctata</t>
  </si>
  <si>
    <t>Lacinaria punctata</t>
  </si>
  <si>
    <t>Liatris punctata var. typica</t>
  </si>
  <si>
    <t>Liatris pycnostachya</t>
  </si>
  <si>
    <t>prairie blazing star</t>
  </si>
  <si>
    <t>Liatris pycnostachya var. pycnostachya</t>
  </si>
  <si>
    <t>Lacinaria pycnostachya</t>
  </si>
  <si>
    <t>Liatris bebbiana</t>
  </si>
  <si>
    <t>Liatris spheroidea</t>
  </si>
  <si>
    <t>spherical blazing star</t>
  </si>
  <si>
    <t>Lacinaria aspera var. spheroidea</t>
  </si>
  <si>
    <t>Liatris squarrosa</t>
  </si>
  <si>
    <t>scaly blazing star</t>
  </si>
  <si>
    <t>Liatris squarrosa var. glabrata</t>
  </si>
  <si>
    <t>Liatris glabrata</t>
  </si>
  <si>
    <t>Liatris squarrosa var. hirsuta</t>
  </si>
  <si>
    <t>Liatris hirsuta</t>
  </si>
  <si>
    <t>Michigan lily</t>
  </si>
  <si>
    <t>Lilium canadense ssp. michiganense</t>
  </si>
  <si>
    <t>Lilium canadense var. umbelliferum</t>
  </si>
  <si>
    <t>Lilium michiganense var. uniflorum</t>
  </si>
  <si>
    <t>Lilium philadelphicum</t>
  </si>
  <si>
    <t>wood lily</t>
  </si>
  <si>
    <t>Lilium philadelphicum var. andinum</t>
  </si>
  <si>
    <t>Lilium andinum</t>
  </si>
  <si>
    <t>Lilium montanum</t>
  </si>
  <si>
    <t>Lilium philadelphicum var. montanum</t>
  </si>
  <si>
    <t>Lilium umbellatum</t>
  </si>
  <si>
    <t>Limnosciadium pinnatum</t>
  </si>
  <si>
    <t>tansy dogshade</t>
  </si>
  <si>
    <t>Cynosciadium pinnatum</t>
  </si>
  <si>
    <t>Lindernia dubia</t>
  </si>
  <si>
    <t>yellowseed false pimpernel</t>
  </si>
  <si>
    <t>Lindernia dubia var. anagallidea</t>
  </si>
  <si>
    <t>Ilysanthes anagallidea</t>
  </si>
  <si>
    <t>Ilysanthes inequalis</t>
  </si>
  <si>
    <t>Lindernia anagallidea</t>
  </si>
  <si>
    <t>Lindernia dubia var. dubia</t>
  </si>
  <si>
    <t>Gratiola dubia</t>
  </si>
  <si>
    <t>Ilysanthes attenuata</t>
  </si>
  <si>
    <t>Ilysanthes dubia</t>
  </si>
  <si>
    <t>Lindernia dubia var. inundata</t>
  </si>
  <si>
    <t>Lindernia dubia var. major</t>
  </si>
  <si>
    <t>Lindernia dubia var. riparia</t>
  </si>
  <si>
    <t>Lindernia dubia var. typica</t>
  </si>
  <si>
    <t>Lindernia procumbens</t>
  </si>
  <si>
    <t>Lindernia pyxidaria</t>
  </si>
  <si>
    <t>Linnaea borealis</t>
  </si>
  <si>
    <t>twinflower</t>
  </si>
  <si>
    <t>Linnaea borealis ssp. americana</t>
  </si>
  <si>
    <t>Linnaea americana</t>
  </si>
  <si>
    <t>Linnaea borealis var. americana</t>
  </si>
  <si>
    <t>Linum medium</t>
  </si>
  <si>
    <t>stiff yellow flax</t>
  </si>
  <si>
    <t>Linum medium var. texanum</t>
  </si>
  <si>
    <t>Cathartolinum curtissii</t>
  </si>
  <si>
    <t>Linum striatum var. texanum</t>
  </si>
  <si>
    <t>Linum virginianum var. texanum</t>
  </si>
  <si>
    <t>Linum perenne</t>
  </si>
  <si>
    <t>blue flax</t>
  </si>
  <si>
    <t>Linum lewisii</t>
  </si>
  <si>
    <t>Linum rigidum</t>
  </si>
  <si>
    <t>stiffstem flax</t>
  </si>
  <si>
    <t>Linum rigidum var. rigidum</t>
  </si>
  <si>
    <t>Cathartolinum earlei</t>
  </si>
  <si>
    <t>Cathartolinum rigidum</t>
  </si>
  <si>
    <t>Mesynium rigidum</t>
  </si>
  <si>
    <t>Linum sulcatum</t>
  </si>
  <si>
    <t>grooved flax</t>
  </si>
  <si>
    <t>Linum sulcatum var. sulcatum</t>
  </si>
  <si>
    <t>Cathartolinum sulcatum</t>
  </si>
  <si>
    <t>Mesynium sulcatum</t>
  </si>
  <si>
    <t>Linum virginianum</t>
  </si>
  <si>
    <t>woodland flax</t>
  </si>
  <si>
    <t>Cathartolinum virginianum</t>
  </si>
  <si>
    <t>Nezera virginiana</t>
  </si>
  <si>
    <t>Liparis liliifolia</t>
  </si>
  <si>
    <t>brown widelip orchid</t>
  </si>
  <si>
    <t>Liparis loeselii</t>
  </si>
  <si>
    <t>yellow widelip orchid</t>
  </si>
  <si>
    <t>Lithospermum canescens</t>
  </si>
  <si>
    <t>hoary puccoon</t>
  </si>
  <si>
    <t>Batschia canescens</t>
  </si>
  <si>
    <t>Lithospermum caroliniense</t>
  </si>
  <si>
    <t>Carolina puccoon</t>
  </si>
  <si>
    <t>Lithospermum caroliniense var. croceum</t>
  </si>
  <si>
    <t>Lithospermum caroliniense ssp. croceum</t>
  </si>
  <si>
    <t>Lithospermum croceum</t>
  </si>
  <si>
    <t>Lithospermum incisum</t>
  </si>
  <si>
    <t>narrowleaf stoneseed</t>
  </si>
  <si>
    <t>Batschia linearifolia</t>
  </si>
  <si>
    <t>Lithospermum angustifolium</t>
  </si>
  <si>
    <t>Lithospermum linearifolium</t>
  </si>
  <si>
    <t>Lithospermum mandanense</t>
  </si>
  <si>
    <t>Lithospermum latifolium</t>
  </si>
  <si>
    <t>American stoneseed</t>
  </si>
  <si>
    <t>Lobelia cardinalis</t>
  </si>
  <si>
    <t>cardinalflower</t>
  </si>
  <si>
    <t>Lobelia cardinalis ssp. graminea</t>
  </si>
  <si>
    <t>Lobelia cardinalis var. graminea</t>
  </si>
  <si>
    <t>Lobelia cardinalis var. meridionalis</t>
  </si>
  <si>
    <t>Lobelia cardinalis var. multiflora</t>
  </si>
  <si>
    <t>Lobelia cardinalis var. phyllostachya</t>
  </si>
  <si>
    <t>Lobelia cardinalis var. propinqua</t>
  </si>
  <si>
    <t>Lobelia cardinalis var. pseudosplendens</t>
  </si>
  <si>
    <t>Lobelia fulgens</t>
  </si>
  <si>
    <t>Lobelia splendens</t>
  </si>
  <si>
    <t>Lobelia inflata</t>
  </si>
  <si>
    <t>Indian-tobacco</t>
  </si>
  <si>
    <t>Lobelia kalmii</t>
  </si>
  <si>
    <t>Ontario lobelia</t>
  </si>
  <si>
    <t>Lobelia kalmii var. strictiflora</t>
  </si>
  <si>
    <t>Lobelia strictiflora</t>
  </si>
  <si>
    <t>Lobelia siphilitica</t>
  </si>
  <si>
    <t>great blue lobelia</t>
  </si>
  <si>
    <t>Lobelia siphilitica var. ludoviciana</t>
  </si>
  <si>
    <t>Lobelia siphilitica var. siphilitica</t>
  </si>
  <si>
    <t>palespike lobelia</t>
  </si>
  <si>
    <t>Lobelia spicata var. campanulata</t>
  </si>
  <si>
    <t>Lobelia spicata var. hirtella</t>
  </si>
  <si>
    <t>Lobelia hirtella</t>
  </si>
  <si>
    <t>Lobelia spicata var. leptostachys</t>
  </si>
  <si>
    <t>Lobelia leptostachys</t>
  </si>
  <si>
    <t>Lobelia spicata var. spicata</t>
  </si>
  <si>
    <t>Lobelia bracteata</t>
  </si>
  <si>
    <t>Lobelia spicata var. originalis</t>
  </si>
  <si>
    <t>Lobelia spicata var. parviflora</t>
  </si>
  <si>
    <t>Lomatium foeniculaceum</t>
  </si>
  <si>
    <t>desert biscuitroot</t>
  </si>
  <si>
    <t>Lomatium foeniculaceum ssp. daucifolium</t>
  </si>
  <si>
    <t>Cogswellia daucifolia</t>
  </si>
  <si>
    <t>Lomatium daucifolium</t>
  </si>
  <si>
    <t>Lomatium foeniculaceum var. daucifolium</t>
  </si>
  <si>
    <t>Lomatium foeniculaceum ssp. foeniculaceum</t>
  </si>
  <si>
    <t>Cogswellia foeniculacea</t>
  </si>
  <si>
    <t>Cogswellia villosa</t>
  </si>
  <si>
    <t>Lomatium orientale</t>
  </si>
  <si>
    <t>Northern Idaho biscuitroot</t>
  </si>
  <si>
    <t>Cogswellia orientalis</t>
  </si>
  <si>
    <t>Lotus unifoliolatus</t>
  </si>
  <si>
    <t>American bird's-foot trefoil</t>
  </si>
  <si>
    <t>Lotus unifoliolatus var. unifoliolatus</t>
  </si>
  <si>
    <t>Acmispon americanum</t>
  </si>
  <si>
    <t>Hosackia americana</t>
  </si>
  <si>
    <t>Lotus americanus</t>
  </si>
  <si>
    <t>Lotus purshianus</t>
  </si>
  <si>
    <t>Lotus purshianus var. glaber</t>
  </si>
  <si>
    <t>Lotus sericeus</t>
  </si>
  <si>
    <t>seedbox</t>
  </si>
  <si>
    <t>Ludwigia alternifolia var. linearifolia</t>
  </si>
  <si>
    <t>Ludwigia alternifolia var. pubescens</t>
  </si>
  <si>
    <t>Ludwigia alternifolia var. typica</t>
  </si>
  <si>
    <t>Ludwigia palustris</t>
  </si>
  <si>
    <t>marsh seedbox</t>
  </si>
  <si>
    <t>Isnardia palustris</t>
  </si>
  <si>
    <t>Ludwigia palustris var. americana</t>
  </si>
  <si>
    <t>Ludwigia palustris var. nana</t>
  </si>
  <si>
    <t>Ludwigia palustris var. pacifica</t>
  </si>
  <si>
    <t>Ludwigia peploides</t>
  </si>
  <si>
    <t>floating primrose-willow</t>
  </si>
  <si>
    <t>Ludwigia peploides ssp. glabrescens</t>
  </si>
  <si>
    <t>Jussiaea diffusa</t>
  </si>
  <si>
    <t>Jussiaea repens</t>
  </si>
  <si>
    <t>Jussiaea repens var. glabrescens</t>
  </si>
  <si>
    <t>Ludwigia peploides var. glabrescens</t>
  </si>
  <si>
    <t>Ludwigia polycarpa</t>
  </si>
  <si>
    <t>manyfruit primrose-willow</t>
  </si>
  <si>
    <t>Lupinus perennis</t>
  </si>
  <si>
    <t>sundial lupine</t>
  </si>
  <si>
    <t>Lupinus perennis ssp. perennis</t>
  </si>
  <si>
    <t>Lupinus perennis ssp. perennis var. occidentalis</t>
  </si>
  <si>
    <t>Lycopodiella inundata</t>
  </si>
  <si>
    <t>inundated clubmoss</t>
  </si>
  <si>
    <t>Lepidotis inundata</t>
  </si>
  <si>
    <t>Lycopodium inundatum</t>
  </si>
  <si>
    <t>Lycopodium clavatum</t>
  </si>
  <si>
    <t>running clubmoss</t>
  </si>
  <si>
    <t>Lycopodium clavatum var. laurentianum</t>
  </si>
  <si>
    <t>Lycopodium clavatum var. subremotum</t>
  </si>
  <si>
    <t>Lycopodium clavatum var. tristachyum</t>
  </si>
  <si>
    <t>Lycopodium dendroideum</t>
  </si>
  <si>
    <t>tree groundpine</t>
  </si>
  <si>
    <t>Lycopodium obscurum var. dendroideum</t>
  </si>
  <si>
    <t>Lycopodium obscurum var. hybridum</t>
  </si>
  <si>
    <t>Lycopodium digitatum</t>
  </si>
  <si>
    <t>fan clubmoss</t>
  </si>
  <si>
    <t>Diphasiastrum digitatum</t>
  </si>
  <si>
    <t>Diphasium complanatum ssp. flabelliforme</t>
  </si>
  <si>
    <t>Lycopodium complanatum var. flabelliforme</t>
  </si>
  <si>
    <t>Lycopodium flabelliforme</t>
  </si>
  <si>
    <t>Lycopodium flabelliforme var. ambiguum</t>
  </si>
  <si>
    <t>Lycopus americanus</t>
  </si>
  <si>
    <t>American water horehound</t>
  </si>
  <si>
    <t>Lycopus americanus var. longii</t>
  </si>
  <si>
    <t>Lycopus americanus var. scabrifolius</t>
  </si>
  <si>
    <t>Lycopus sinuatus</t>
  </si>
  <si>
    <t>Lycopus asper</t>
  </si>
  <si>
    <t>rough bugleweed</t>
  </si>
  <si>
    <t>Lycopus lucidus</t>
  </si>
  <si>
    <t>Lycopus lucidus ssp. americanus</t>
  </si>
  <si>
    <t>Lycopus lucidus var. americanus</t>
  </si>
  <si>
    <t>Lycopus ×sherardii</t>
  </si>
  <si>
    <t>Lycopus uniflorus</t>
  </si>
  <si>
    <t>northern bugleweed</t>
  </si>
  <si>
    <t>Lycopus uniflorus var. uniflorus</t>
  </si>
  <si>
    <t>Lycopus virginicus var. pauciflorus</t>
  </si>
  <si>
    <t>Lycopus virginicus</t>
  </si>
  <si>
    <t>Virginia water horehound</t>
  </si>
  <si>
    <t>Lygodesmia juncea</t>
  </si>
  <si>
    <t>rush skeletonplant</t>
  </si>
  <si>
    <t>Lysimachia ciliata</t>
  </si>
  <si>
    <t>fringed loosestrife</t>
  </si>
  <si>
    <t>Steironema ciliatum</t>
  </si>
  <si>
    <t>Steironema pumilum</t>
  </si>
  <si>
    <t>Lysimachia hybrida</t>
  </si>
  <si>
    <t>lowland yellow loosestrife</t>
  </si>
  <si>
    <t>Lysimachia ciliata var. validula</t>
  </si>
  <si>
    <t>Lysimachia lanceolata ssp. hybrida</t>
  </si>
  <si>
    <t>Lysimachia lanceolata var. hybrida</t>
  </si>
  <si>
    <t>Steironema hybridum</t>
  </si>
  <si>
    <t>Steironema laevigatum</t>
  </si>
  <si>
    <t>Steironema lanceolatum var. hybridum</t>
  </si>
  <si>
    <t>Lysimachia lanceolata</t>
  </si>
  <si>
    <t>lanceleaf loosestrife</t>
  </si>
  <si>
    <t>Lysimachia lanceolata var. angustifolia</t>
  </si>
  <si>
    <t>Steironema heterophyllum</t>
  </si>
  <si>
    <t>Steironema lanceolatum</t>
  </si>
  <si>
    <t>Lysimachia quadriflora</t>
  </si>
  <si>
    <t>fourflower yellow loosestrife</t>
  </si>
  <si>
    <t>Lysimachia longifolia</t>
  </si>
  <si>
    <t>Steironema quadriflorum</t>
  </si>
  <si>
    <t>Lysimachia terrestris</t>
  </si>
  <si>
    <t>earth loosestrife</t>
  </si>
  <si>
    <t>Lysimachia terrestris var. ovata</t>
  </si>
  <si>
    <t>tufted loosestrife</t>
  </si>
  <si>
    <t>Naumburgia thyrsiflora</t>
  </si>
  <si>
    <t>Lythrum alatum</t>
  </si>
  <si>
    <t>winged lythrum</t>
  </si>
  <si>
    <t>Lythrum alatum var. alatum</t>
  </si>
  <si>
    <t>Lythrum dacotanum</t>
  </si>
  <si>
    <t>Machaeranthera canescens</t>
  </si>
  <si>
    <t>hoary tansyaster</t>
  </si>
  <si>
    <t>Machaeranthera canescens ssp. canescens</t>
  </si>
  <si>
    <t>Machaeranthera canescens ssp. canescens var. canescens</t>
  </si>
  <si>
    <t>Aster canescens</t>
  </si>
  <si>
    <t>Aster canescens var. viscosus</t>
  </si>
  <si>
    <t>Aster glossophyllus</t>
  </si>
  <si>
    <t>Aster leiodes</t>
  </si>
  <si>
    <t>Aster shastensis var. glossophyllus</t>
  </si>
  <si>
    <t>Aster shastensis var. latifolius</t>
  </si>
  <si>
    <t>Dieteria canescens</t>
  </si>
  <si>
    <t>Dieteria divaricata</t>
  </si>
  <si>
    <t>Dieteria pulverulenta</t>
  </si>
  <si>
    <t>Dieteria viscosa</t>
  </si>
  <si>
    <t>Machaeranthera angustifolia</t>
  </si>
  <si>
    <t>Machaeranthera canescens var. latifolia</t>
  </si>
  <si>
    <t>Machaeranthera canescens var. monticola</t>
  </si>
  <si>
    <t>Machaeranthera canescens var. viscosa</t>
  </si>
  <si>
    <t>Machaeranthera divaricata</t>
  </si>
  <si>
    <t>Machaeranthera glabella</t>
  </si>
  <si>
    <t>Machaeranthera laetevirens</t>
  </si>
  <si>
    <t>Machaeranthera latifolia</t>
  </si>
  <si>
    <t>Machaeranthera leptophylla</t>
  </si>
  <si>
    <t>Machaeranthera linearis</t>
  </si>
  <si>
    <t>Machaeranthera montana</t>
  </si>
  <si>
    <t>Machaeranthera paniculata</t>
  </si>
  <si>
    <t>Machaeranthera pinosa</t>
  </si>
  <si>
    <t>Machaeranthera pulverulenta</t>
  </si>
  <si>
    <t>Machaeranthera ramosa</t>
  </si>
  <si>
    <t>Machaeranthera selbyi</t>
  </si>
  <si>
    <t>Machaeranthera shastensis var. glossophylla</t>
  </si>
  <si>
    <t>Machaeranthera shastensis var. latifolia</t>
  </si>
  <si>
    <t>Machaeranthera shastensis var. montana</t>
  </si>
  <si>
    <t>Machaeranthera spinulosa</t>
  </si>
  <si>
    <t>Machaeranthera subalpina</t>
  </si>
  <si>
    <t>Machaeranthera superba</t>
  </si>
  <si>
    <t>Machaeranthera viscosa</t>
  </si>
  <si>
    <t>Machaeranthera pinnatifida</t>
  </si>
  <si>
    <t>lacy tansyaster</t>
  </si>
  <si>
    <t>Machaeranthera pinnatifida ssp. pinnatifida</t>
  </si>
  <si>
    <t>Machaeranthera pinnatifida ssp. pinnatifida var. glaberrima</t>
  </si>
  <si>
    <t>Haplopappus spinulosus ssp. glaberrimus</t>
  </si>
  <si>
    <t>Haplopappus spinulosus var. glaberrimus</t>
  </si>
  <si>
    <t>Sideranthus glaberrimus</t>
  </si>
  <si>
    <t>Sideranthus spinulosus var. glaberrimus</t>
  </si>
  <si>
    <t>Machaeranthera pinnatifida ssp. pinnatifida var. pinnatifida</t>
  </si>
  <si>
    <t>Amellus spinulosus</t>
  </si>
  <si>
    <t>Aster pinnatifidus</t>
  </si>
  <si>
    <t>Dieteria spinulosa</t>
  </si>
  <si>
    <t>Diplopappus pinnatifidus</t>
  </si>
  <si>
    <t>Eriocarpum australe</t>
  </si>
  <si>
    <t>Eriocarpum spinulosum</t>
  </si>
  <si>
    <t>Eriocarpum wootonii</t>
  </si>
  <si>
    <t>Haplopappus coulteri</t>
  </si>
  <si>
    <t>Haplopappus spinulosus</t>
  </si>
  <si>
    <t>Haplopappus spinulosus ssp. australis</t>
  </si>
  <si>
    <t>Haplopappus spinulosus ssp. cotulus</t>
  </si>
  <si>
    <t>Haplopappus spinulosus ssp. laevis</t>
  </si>
  <si>
    <t>Haplopappus spinulosus var. canescens</t>
  </si>
  <si>
    <t>Haplopappus spinulosus var. glaber</t>
  </si>
  <si>
    <t>Haplopappus spinulosus var. turbinellus</t>
  </si>
  <si>
    <t>Haplopappus texensis</t>
  </si>
  <si>
    <t>Machaeranthera australis</t>
  </si>
  <si>
    <t>Machaeranthera laevis</t>
  </si>
  <si>
    <t>Machaeranthera pinnata</t>
  </si>
  <si>
    <t>Machaeranthera texensis</t>
  </si>
  <si>
    <t>Sideranthus australis</t>
  </si>
  <si>
    <t>Sideranthus cotula</t>
  </si>
  <si>
    <t>Sideranthus laevis</t>
  </si>
  <si>
    <t>Sideranthus machaerantherus</t>
  </si>
  <si>
    <t>Sideranthus puberulus</t>
  </si>
  <si>
    <t>Sideranthus spinulosus</t>
  </si>
  <si>
    <t>Sideranthus turbinellus</t>
  </si>
  <si>
    <t>Sideranthus wootonii</t>
  </si>
  <si>
    <t>Starkea pinnata</t>
  </si>
  <si>
    <t>Madia glomerata</t>
  </si>
  <si>
    <t>mountain tarweed</t>
  </si>
  <si>
    <t>Madia sativa</t>
  </si>
  <si>
    <t>coast tarweed</t>
  </si>
  <si>
    <t>Madia capitata</t>
  </si>
  <si>
    <t>Madia sativa ssp. capitata</t>
  </si>
  <si>
    <t>Madia sativa var. congesta</t>
  </si>
  <si>
    <t>Maianthemum canadense</t>
  </si>
  <si>
    <t>Canada mayflower</t>
  </si>
  <si>
    <t>Maianthemum canadense var. interius</t>
  </si>
  <si>
    <t>Maianthemum canadense var. pubescens</t>
  </si>
  <si>
    <t>Unifolium canadense</t>
  </si>
  <si>
    <t>feathery false lily of the valley</t>
  </si>
  <si>
    <t>Maianthemum racemosum ssp. racemosum</t>
  </si>
  <si>
    <t>Convallaria racemosa</t>
  </si>
  <si>
    <t>Smilacina ciliata</t>
  </si>
  <si>
    <t>Smilacina flexicaulis</t>
  </si>
  <si>
    <t>Smilacina racemosa</t>
  </si>
  <si>
    <t>Smilacina racemosa var. cylindrata</t>
  </si>
  <si>
    <t>Smilacina racemosa var. lanceolata</t>
  </si>
  <si>
    <t>Smilacina racemosa var. typica</t>
  </si>
  <si>
    <t>Vagnera australis</t>
  </si>
  <si>
    <t>Vagnera racemosa</t>
  </si>
  <si>
    <t>Maianthemum stellatum</t>
  </si>
  <si>
    <t>starry false lily of the valley</t>
  </si>
  <si>
    <t>Convallaria stellata</t>
  </si>
  <si>
    <t>Smilacina liliacea</t>
  </si>
  <si>
    <t>Smilacina sessilifolia</t>
  </si>
  <si>
    <t>Smilacina stellata</t>
  </si>
  <si>
    <t>Smilacina stellata var. crassa</t>
  </si>
  <si>
    <t>Smilacina stellata var. mollis</t>
  </si>
  <si>
    <t>Smilacina stellata var. sessilifolia</t>
  </si>
  <si>
    <t>Smilacina stellata var. sylvatica</t>
  </si>
  <si>
    <t>Vagnera liliacea</t>
  </si>
  <si>
    <t>Vagnera sessilifolia</t>
  </si>
  <si>
    <t>Vagnera stellata</t>
  </si>
  <si>
    <t>Malaxis unifolia</t>
  </si>
  <si>
    <t>green adder's-mouth orchid</t>
  </si>
  <si>
    <t>Microstylis unifolia</t>
  </si>
  <si>
    <t>Malvastrum hispidum</t>
  </si>
  <si>
    <t>hispid false mallow</t>
  </si>
  <si>
    <t>Malvastrum angustum</t>
  </si>
  <si>
    <t>Sida hispida</t>
  </si>
  <si>
    <t>Sidopsis hispida</t>
  </si>
  <si>
    <t>Sphaeralcea angusta</t>
  </si>
  <si>
    <t>Marsilea quadrifolia</t>
  </si>
  <si>
    <t>European waterclover</t>
  </si>
  <si>
    <t>Marsilea vestita</t>
  </si>
  <si>
    <t>hairy waterclover</t>
  </si>
  <si>
    <t>Marsilea fournieri</t>
  </si>
  <si>
    <t>Marsilea minuta</t>
  </si>
  <si>
    <t>Marsilea mucronata</t>
  </si>
  <si>
    <t>Marsilea tenuifolia</t>
  </si>
  <si>
    <t>Marsilea uncinata</t>
  </si>
  <si>
    <t>Marsilea vestita ssp. tenuifolia</t>
  </si>
  <si>
    <t>Marsilea vestita ssp. vestita</t>
  </si>
  <si>
    <t>Marsilea vestita var. mucronata</t>
  </si>
  <si>
    <t>Matteuccia struthiopteris</t>
  </si>
  <si>
    <t>ostrich fern</t>
  </si>
  <si>
    <t>Matteuccia pensylvanica</t>
  </si>
  <si>
    <t>Matteuccia struthiopteris var. pensylvanica</t>
  </si>
  <si>
    <t>Matteuccia struthiopteris var. pubescens</t>
  </si>
  <si>
    <t>Onoclea struthiopteris</t>
  </si>
  <si>
    <t>Onoclea struthiopteris var. pensylvanica</t>
  </si>
  <si>
    <t>Pteretis nodulosa</t>
  </si>
  <si>
    <t>Pteretis pensylvanica</t>
  </si>
  <si>
    <t>Mentha arvensis</t>
  </si>
  <si>
    <t>wild mint</t>
  </si>
  <si>
    <t>Mentha arvensis ssp. borealis</t>
  </si>
  <si>
    <t>Mentha arvensis ssp. haplocalyx</t>
  </si>
  <si>
    <t>Mentha arvensis var. canadensis</t>
  </si>
  <si>
    <t>Mentha arvensis var. glabrata</t>
  </si>
  <si>
    <t>Mentha arvensis var. lanata</t>
  </si>
  <si>
    <t>Mentha arvensis var. sativa</t>
  </si>
  <si>
    <t>Mentha arvensis var. villosa</t>
  </si>
  <si>
    <t>Mentha canadensis</t>
  </si>
  <si>
    <t>Mentha gentilis</t>
  </si>
  <si>
    <t>Mentha glabrior</t>
  </si>
  <si>
    <t>Mentha penardii</t>
  </si>
  <si>
    <t>Mentha ×piperita</t>
  </si>
  <si>
    <t>peppermint</t>
  </si>
  <si>
    <t>Mentha aquatica var. crispa</t>
  </si>
  <si>
    <t>Mentha crispa</t>
  </si>
  <si>
    <t>Mentha dumetorum</t>
  </si>
  <si>
    <t>Mentzelia decapetala</t>
  </si>
  <si>
    <t>tenpetal blazingstar</t>
  </si>
  <si>
    <t>Nuttallia decapetala</t>
  </si>
  <si>
    <t>Menyanthes trifoliata</t>
  </si>
  <si>
    <t>buckbean</t>
  </si>
  <si>
    <t>Menyanthes trifoliata var. minor</t>
  </si>
  <si>
    <t>Mertensia paniculata</t>
  </si>
  <si>
    <t>tall bluebells</t>
  </si>
  <si>
    <t>Mertensia paniculata var. paniculata</t>
  </si>
  <si>
    <t>Mertensia palmeri</t>
  </si>
  <si>
    <t>Mertensia pilosa</t>
  </si>
  <si>
    <t>Mertensia virginica</t>
  </si>
  <si>
    <t>Virginia bluebells</t>
  </si>
  <si>
    <t>Mimosa nuttallii</t>
  </si>
  <si>
    <t>Nuttall's sensitive-briar</t>
  </si>
  <si>
    <t>Leptoglottis nuttallii</t>
  </si>
  <si>
    <t>Mimosa quadrivalvis var. nuttallii</t>
  </si>
  <si>
    <t>Schrankia nuttallii</t>
  </si>
  <si>
    <t>Mimulus alatus</t>
  </si>
  <si>
    <t>sharpwing monkeyflower</t>
  </si>
  <si>
    <t>Mimulus glabratus</t>
  </si>
  <si>
    <t>roundleaf monkeyflower</t>
  </si>
  <si>
    <t>Mimulus glabratus var. jamesii</t>
  </si>
  <si>
    <t>James' monkeyflower</t>
  </si>
  <si>
    <t>Mimulus geyeri</t>
  </si>
  <si>
    <t>Mimulus glabratus var. fremontii</t>
  </si>
  <si>
    <t>Mimulus inamoenus</t>
  </si>
  <si>
    <t>Mimulus jamesii</t>
  </si>
  <si>
    <t>Mimulus jamesii var. fremontii</t>
  </si>
  <si>
    <t>Mimulus reniformis</t>
  </si>
  <si>
    <t>Mimulus ringens</t>
  </si>
  <si>
    <t>Allegheny monkeyflower</t>
  </si>
  <si>
    <t>Mimulus ringens var. ringens</t>
  </si>
  <si>
    <t>Mimulus minthodes</t>
  </si>
  <si>
    <t>Mimulus pallidus</t>
  </si>
  <si>
    <t>Mimulus ringens var. congesta</t>
  </si>
  <si>
    <t>Mimulus ringens var. minthodes</t>
  </si>
  <si>
    <t>Michaux's stitchwort</t>
  </si>
  <si>
    <t>Minuartia michauxii var. michauxii</t>
  </si>
  <si>
    <t>Arenaria macra</t>
  </si>
  <si>
    <t>Arenaria michauxii</t>
  </si>
  <si>
    <t>Arenaria stricta ssp. macra</t>
  </si>
  <si>
    <t>Arenaria stricta var. puberulenta</t>
  </si>
  <si>
    <t>Arenaria stricta var. uliginosa</t>
  </si>
  <si>
    <t>Arenaria uliginosa</t>
  </si>
  <si>
    <t>Minuopsis michauxii</t>
  </si>
  <si>
    <t>Sabulina stricta</t>
  </si>
  <si>
    <t>Mirabilis albida</t>
  </si>
  <si>
    <t>white four o'clock</t>
  </si>
  <si>
    <t>Allionia albida</t>
  </si>
  <si>
    <t>Allionia bracteata</t>
  </si>
  <si>
    <t>Allionia coahuilensis</t>
  </si>
  <si>
    <t>Allionia grayana</t>
  </si>
  <si>
    <t>Allionia pauciflora</t>
  </si>
  <si>
    <t>Allionia pseudaggregata</t>
  </si>
  <si>
    <t>Allionia rotata</t>
  </si>
  <si>
    <t>Mirabilis albida var. lata</t>
  </si>
  <si>
    <t>Mirabilis albida var. uniflora</t>
  </si>
  <si>
    <t>Mirabilis coahuilensis</t>
  </si>
  <si>
    <t>Mirabilis dumetorum</t>
  </si>
  <si>
    <t>Mirabilis entricha</t>
  </si>
  <si>
    <t>Mirabilis grayana</t>
  </si>
  <si>
    <t>Mirabilis oblongifolia</t>
  </si>
  <si>
    <t>Mirabilis pauciflora</t>
  </si>
  <si>
    <t>Mirabilis pseudaggregata</t>
  </si>
  <si>
    <t>Mirabilis rotata</t>
  </si>
  <si>
    <t>Oxybaphus albidus</t>
  </si>
  <si>
    <t>Oxybaphus coahuilensis</t>
  </si>
  <si>
    <t>Oxybaphus pauciflorus</t>
  </si>
  <si>
    <t>Oxybaphus pseudaggregatus</t>
  </si>
  <si>
    <t>Oxybaphus rotatus</t>
  </si>
  <si>
    <t>Mirabilis hirsuta</t>
  </si>
  <si>
    <t>hairy four o'clock</t>
  </si>
  <si>
    <t>Allionia hirsuta</t>
  </si>
  <si>
    <t>Oxybaphus hirsutus</t>
  </si>
  <si>
    <t>Mirabilis nyctaginea</t>
  </si>
  <si>
    <t>heartleaf four o'clock</t>
  </si>
  <si>
    <t>Allionia nyctaginea</t>
  </si>
  <si>
    <t>Mirabilis collina</t>
  </si>
  <si>
    <t>Oxybaphus nyctagineus</t>
  </si>
  <si>
    <t>Mitchella repens</t>
  </si>
  <si>
    <t>partridgeberry</t>
  </si>
  <si>
    <t>Mitella diphylla</t>
  </si>
  <si>
    <t>twoleaf miterwort</t>
  </si>
  <si>
    <t>Mitella oppositifolia</t>
  </si>
  <si>
    <t>Mitella nuda</t>
  </si>
  <si>
    <t>naked miterwort</t>
  </si>
  <si>
    <t>Moehringia lateriflora</t>
  </si>
  <si>
    <t>bluntleaf sandwort</t>
  </si>
  <si>
    <t>Arenaria lateriflora</t>
  </si>
  <si>
    <t>Arenaria lateriflora var. angustifolia</t>
  </si>
  <si>
    <t>Arenaria lateriflora var. tayloriae</t>
  </si>
  <si>
    <t>Mollugo verticillata</t>
  </si>
  <si>
    <t>green carpetweed</t>
  </si>
  <si>
    <t>Mollugo berteriana</t>
  </si>
  <si>
    <t>Monarda bradburiana</t>
  </si>
  <si>
    <t>eastern beebalm</t>
  </si>
  <si>
    <t>Monarda fistulosa</t>
  </si>
  <si>
    <t>Monarda rigida</t>
  </si>
  <si>
    <t>Monarda villosa</t>
  </si>
  <si>
    <t>Monarda didyma</t>
  </si>
  <si>
    <t>scarlet beebalm</t>
  </si>
  <si>
    <t>wild bergamot</t>
  </si>
  <si>
    <t>Monarda fistulosa ssp. fistulosa</t>
  </si>
  <si>
    <t>Monarda fistulosa ssp. fistulosa var. fistulosa</t>
  </si>
  <si>
    <t>Monarda fistulosa ssp. fistulosa var. menthifolia</t>
  </si>
  <si>
    <t>mintleaf bergamot</t>
  </si>
  <si>
    <t>Monarda menthifolia</t>
  </si>
  <si>
    <t>Monarda fistulosa ssp. fistulosa var. mollis</t>
  </si>
  <si>
    <t>Monarda mollis</t>
  </si>
  <si>
    <t>Monarda scabra</t>
  </si>
  <si>
    <t>Monarda punctata</t>
  </si>
  <si>
    <t>spotted beebalm</t>
  </si>
  <si>
    <t>Monarda punctata ssp. punctata</t>
  </si>
  <si>
    <t>Monarda punctata ssp. punctata var. villicaulis</t>
  </si>
  <si>
    <t>Monarda punctata ssp. villicaulis</t>
  </si>
  <si>
    <t>Monolepis nuttalliana</t>
  </si>
  <si>
    <t>Nuttall's povertyweed</t>
  </si>
  <si>
    <t>Monotropa hypopithys</t>
  </si>
  <si>
    <t>pinesap</t>
  </si>
  <si>
    <t>Hypopitys americana</t>
  </si>
  <si>
    <t>Hypopitys fimbriata</t>
  </si>
  <si>
    <t>Hypopitys insignata</t>
  </si>
  <si>
    <t>Hypopitys lanuginosa</t>
  </si>
  <si>
    <t>Hypopitys latisquama</t>
  </si>
  <si>
    <t>Hypopitys monotropa</t>
  </si>
  <si>
    <t>Monotropa hypopithys ssp. lanuginosa</t>
  </si>
  <si>
    <t>Monotropa hypopithys var. americana</t>
  </si>
  <si>
    <t>Monotropa hypopithys var. latisquama</t>
  </si>
  <si>
    <t>Monotropa hypopithys var. rubra</t>
  </si>
  <si>
    <t>Monotropa lanuginosa</t>
  </si>
  <si>
    <t>Monotropa latisquama</t>
  </si>
  <si>
    <t>Monotropa uniflora</t>
  </si>
  <si>
    <t>Indianpipe</t>
  </si>
  <si>
    <t>Monotropa brittonii</t>
  </si>
  <si>
    <t>Montia chamissoi</t>
  </si>
  <si>
    <t>water minerslettuce</t>
  </si>
  <si>
    <t>Claytonia chamissoi</t>
  </si>
  <si>
    <t>Crunocallis chamissoi</t>
  </si>
  <si>
    <t>Myosotis verna</t>
  </si>
  <si>
    <t>spring forget-me-not</t>
  </si>
  <si>
    <t>Myosotis virginica</t>
  </si>
  <si>
    <t>Myosurus minimus</t>
  </si>
  <si>
    <t>tiny mousetail</t>
  </si>
  <si>
    <t>Myosurus clavicaulis</t>
  </si>
  <si>
    <t>Myosurus lepturus</t>
  </si>
  <si>
    <t>Myosurus minimus ssp. apus</t>
  </si>
  <si>
    <t>Myosurus minimus ssp. major</t>
  </si>
  <si>
    <t>Myosurus minimus var. apus</t>
  </si>
  <si>
    <t>Myosurus minimus var. clavicaulis</t>
  </si>
  <si>
    <t>Myosurus minimus var. filiformis</t>
  </si>
  <si>
    <t>Myosurus minimus var. interior</t>
  </si>
  <si>
    <t>Myosurus minimus var. lepturus</t>
  </si>
  <si>
    <t>Myosurus minimus var. major</t>
  </si>
  <si>
    <t>Myriophyllum heterophyllum</t>
  </si>
  <si>
    <t>twoleaf watermilfoil</t>
  </si>
  <si>
    <t>Myriophyllum pinnatum</t>
  </si>
  <si>
    <t>cutleaf watermilfoil</t>
  </si>
  <si>
    <t>Myriophyllum scabratum</t>
  </si>
  <si>
    <t>Myriophyllum verticillatum var. cheneyi</t>
  </si>
  <si>
    <t>Potamogeton pinnatum</t>
  </si>
  <si>
    <t>Myriophyllum sibiricum</t>
  </si>
  <si>
    <t>shortspike watermilfoil</t>
  </si>
  <si>
    <t>Myriophyllum exalbescens</t>
  </si>
  <si>
    <t>Myriophyllum exalbescens var. magdalenense</t>
  </si>
  <si>
    <t>Myriophyllum magdalenense</t>
  </si>
  <si>
    <t>Myriophyllum spicatum ssp. exalbescens</t>
  </si>
  <si>
    <t>Myriophyllum spicatum ssp. squamosum</t>
  </si>
  <si>
    <t>Myriophyllum spicatum var. capillaceum</t>
  </si>
  <si>
    <t>Myriophyllum spicatum var. exalbescens</t>
  </si>
  <si>
    <t>Myriophyllum spicatum var. squamosum</t>
  </si>
  <si>
    <t>Myriophyllum verticillatum</t>
  </si>
  <si>
    <t>whorl-leaf watermilfoil</t>
  </si>
  <si>
    <t>Myriophyllum verticillatum var. intermedium</t>
  </si>
  <si>
    <t>Myriophyllum verticillatum var. pectinatum</t>
  </si>
  <si>
    <t>Myriophyllum verticillatum var. pinnatifidum</t>
  </si>
  <si>
    <t>Najas flexilis</t>
  </si>
  <si>
    <t>nodding waternymph</t>
  </si>
  <si>
    <t>Caulinia flexilis</t>
  </si>
  <si>
    <t>Najas caespitosa</t>
  </si>
  <si>
    <t>Najas flexilis ssp. caespitosa</t>
  </si>
  <si>
    <t>Najas flexilis var. congesta</t>
  </si>
  <si>
    <t>Najas flexilis var. robusta</t>
  </si>
  <si>
    <t>Najas gracillima</t>
  </si>
  <si>
    <t>slender waternymph</t>
  </si>
  <si>
    <t>Najas indica var. gracillima</t>
  </si>
  <si>
    <t>Najas guadalupensis</t>
  </si>
  <si>
    <t>southern waternymph</t>
  </si>
  <si>
    <t>Najas guadalupensis ssp. guadalupensis</t>
  </si>
  <si>
    <t>Caulinia guadalupensis</t>
  </si>
  <si>
    <t>Najas guadalupensis ssp. olivacea</t>
  </si>
  <si>
    <t>Guadalupe waternymph</t>
  </si>
  <si>
    <t>Najas guadalupensis var. olivacea</t>
  </si>
  <si>
    <t>Najas olivacea</t>
  </si>
  <si>
    <t>Najas marina</t>
  </si>
  <si>
    <t>spiny naiad</t>
  </si>
  <si>
    <t>Najas gracilis</t>
  </si>
  <si>
    <t>Najas major</t>
  </si>
  <si>
    <t>Najas major var. angustifolia</t>
  </si>
  <si>
    <t>Najas marina var. recurvata</t>
  </si>
  <si>
    <t>Napaea dioica</t>
  </si>
  <si>
    <t>glademallow</t>
  </si>
  <si>
    <t>Navarretia intertexta</t>
  </si>
  <si>
    <t>needleleaf navarretia</t>
  </si>
  <si>
    <t>Navarretia intertexta ssp. propinqua</t>
  </si>
  <si>
    <t>near navarretia</t>
  </si>
  <si>
    <t>Gilia propinqua</t>
  </si>
  <si>
    <t>Navarretia intertexta var. propinqua</t>
  </si>
  <si>
    <t>Navarretia propinqua</t>
  </si>
  <si>
    <t>Nelumbo lutea</t>
  </si>
  <si>
    <t>American lotus</t>
  </si>
  <si>
    <t>Nelumbium luteum</t>
  </si>
  <si>
    <t>Nelumbo pentapetala</t>
  </si>
  <si>
    <t>Neobeckia aquatica</t>
  </si>
  <si>
    <t>lakecress</t>
  </si>
  <si>
    <t>Armoracia aquatica</t>
  </si>
  <si>
    <t>Armoracia lacustris</t>
  </si>
  <si>
    <t>Nasturtium lacustre</t>
  </si>
  <si>
    <t>Rorippa americana</t>
  </si>
  <si>
    <t>Rorippa aquatica</t>
  </si>
  <si>
    <t>Nothocalais cuspidata</t>
  </si>
  <si>
    <t>prairie false dandelion</t>
  </si>
  <si>
    <t>Agoseris cuspidata</t>
  </si>
  <si>
    <t>Microseris cuspidata</t>
  </si>
  <si>
    <t>Nuphar lutea</t>
  </si>
  <si>
    <t>yellow pond-lily</t>
  </si>
  <si>
    <t>Nuphar lutea ssp. variegata</t>
  </si>
  <si>
    <t>varigated yellow pond-lily</t>
  </si>
  <si>
    <t>Nuphar advena var. fraterna</t>
  </si>
  <si>
    <t>Nuphar variegata</t>
  </si>
  <si>
    <t>Nymphaea fraterna</t>
  </si>
  <si>
    <t>Nuttallanthus canadensis</t>
  </si>
  <si>
    <t>Canada toadflax</t>
  </si>
  <si>
    <t>Linaria canadensis</t>
  </si>
  <si>
    <t>Nymphaea odorata</t>
  </si>
  <si>
    <t>American white waterlily</t>
  </si>
  <si>
    <t>Nymphaea odorata ssp. odorata</t>
  </si>
  <si>
    <t>Castalia lekophylla</t>
  </si>
  <si>
    <t>Castalia minor</t>
  </si>
  <si>
    <t>Castalia odorata</t>
  </si>
  <si>
    <t>Castalia reniformis</t>
  </si>
  <si>
    <t>Nymphaea minor</t>
  </si>
  <si>
    <t>Nymphaea odorata var. gigantea</t>
  </si>
  <si>
    <t>Nymphaea odorata var. godfreyi</t>
  </si>
  <si>
    <t>Nymphaea odorata var. minor</t>
  </si>
  <si>
    <t>Nymphaea odorata var. rosea</t>
  </si>
  <si>
    <t>Nymphaea odorata var. stenopetala</t>
  </si>
  <si>
    <t>Nymphaea odorata var. villosa</t>
  </si>
  <si>
    <t>Nymphaea odorata ssp. tuberosa</t>
  </si>
  <si>
    <t>Castalia tuberosa</t>
  </si>
  <si>
    <t>Nymphaea odorata var. maxima</t>
  </si>
  <si>
    <t>Nymphaea tuberosa</t>
  </si>
  <si>
    <t>Oenothera biennis</t>
  </si>
  <si>
    <t>common evening primrose</t>
  </si>
  <si>
    <t>Oenothera biennis ssp. caeciarum</t>
  </si>
  <si>
    <t>Oenothera biennis ssp. centralis</t>
  </si>
  <si>
    <t>Oenothera biennis var. pycnocarpa</t>
  </si>
  <si>
    <t>Oenothera muricata</t>
  </si>
  <si>
    <t>Oenothera pycnocarpa</t>
  </si>
  <si>
    <t>Oenothera clelandii</t>
  </si>
  <si>
    <t>Cleland's evening primrose</t>
  </si>
  <si>
    <t>Oenothera rhombipetala</t>
  </si>
  <si>
    <t>Oenothera laciniata</t>
  </si>
  <si>
    <t>cutleaf evening primrose</t>
  </si>
  <si>
    <t>Raimannia laciniata</t>
  </si>
  <si>
    <t>Oenothera parviflora</t>
  </si>
  <si>
    <t>northern evening primrose</t>
  </si>
  <si>
    <t>Camissonia strigulosa</t>
  </si>
  <si>
    <t>Oenothera cruciata</t>
  </si>
  <si>
    <t>Oenothera cruciata var. sabulonensis</t>
  </si>
  <si>
    <t>Oenothera cymatilis</t>
  </si>
  <si>
    <t>Oenothera rubricapitata</t>
  </si>
  <si>
    <t>Oenothera perennis</t>
  </si>
  <si>
    <t>little evening primrose</t>
  </si>
  <si>
    <t>Kneiffia perennis</t>
  </si>
  <si>
    <t>Kneiffia pumila</t>
  </si>
  <si>
    <t>Oenothera perennis var. rectipilis</t>
  </si>
  <si>
    <t>Oenothera perennis var. typica</t>
  </si>
  <si>
    <t>Oenothera pilosella</t>
  </si>
  <si>
    <t>meadow evening primrose</t>
  </si>
  <si>
    <t>Oenothera pilosella ssp. pilosella</t>
  </si>
  <si>
    <t>Kneiffia pratensis</t>
  </si>
  <si>
    <t>Kneiffia sumstinei</t>
  </si>
  <si>
    <t>fourpoint evening primrose</t>
  </si>
  <si>
    <t>Oenothera heterophylla var. rhombipetala</t>
  </si>
  <si>
    <t>Raimannia rhombipetala</t>
  </si>
  <si>
    <t>Oenothera speciosa</t>
  </si>
  <si>
    <t>pinkladies</t>
  </si>
  <si>
    <t>Hartmannia speciosa</t>
  </si>
  <si>
    <t>Oenothera delessertiana</t>
  </si>
  <si>
    <t>Oenothera speciosa var. childsii</t>
  </si>
  <si>
    <t>Oenothera villosa</t>
  </si>
  <si>
    <t>hairy evening primrose</t>
  </si>
  <si>
    <t>Oenothera villosa ssp. villosa</t>
  </si>
  <si>
    <t>Oenothera albinervis</t>
  </si>
  <si>
    <t>Oenothera biennis var. canescens</t>
  </si>
  <si>
    <t>Oenothera canovirens</t>
  </si>
  <si>
    <t>Oenothera depressa</t>
  </si>
  <si>
    <t>Oenothera strigosa ssp. canovirens</t>
  </si>
  <si>
    <t>Oenothera villosa ssp. canovirens</t>
  </si>
  <si>
    <t>Oligoneuron album</t>
  </si>
  <si>
    <t>prairie goldenrod</t>
  </si>
  <si>
    <t>Aster ptarmicoides</t>
  </si>
  <si>
    <t>Aster ptarmicoides var. georgianus</t>
  </si>
  <si>
    <t>Doellingeria ptarmicoides</t>
  </si>
  <si>
    <t>Inula alba</t>
  </si>
  <si>
    <t>Solidago asteroides</t>
  </si>
  <si>
    <t>Solidago ptarmicoides</t>
  </si>
  <si>
    <t>Unamia alba</t>
  </si>
  <si>
    <t>Oligoneuron riddellii</t>
  </si>
  <si>
    <t>Riddell's goldenrod</t>
  </si>
  <si>
    <t>Solidago riddellii</t>
  </si>
  <si>
    <t>Oligoneuron rigidum</t>
  </si>
  <si>
    <t>stiff goldenrod</t>
  </si>
  <si>
    <t>Oligoneuron rigidum var. humile</t>
  </si>
  <si>
    <t>Oligoneuron canescens</t>
  </si>
  <si>
    <t>Oligoneuron corymbosum var. humile</t>
  </si>
  <si>
    <t>Solidago canescens</t>
  </si>
  <si>
    <t>Solidago jacksonii var. humilis</t>
  </si>
  <si>
    <t>Solidago parvirigida</t>
  </si>
  <si>
    <t>Solidago rigida ssp. humilis</t>
  </si>
  <si>
    <t>Solidago rigida var. humilis</t>
  </si>
  <si>
    <t>Oligoneuron rigidum var. rigidum</t>
  </si>
  <si>
    <t>Oligoneuron grandiflorum</t>
  </si>
  <si>
    <t>Solidago grandiflora</t>
  </si>
  <si>
    <t>Solidago rigida</t>
  </si>
  <si>
    <t>Onoclea sensibilis</t>
  </si>
  <si>
    <t>sensitive fern</t>
  </si>
  <si>
    <t>Onosmodium bejariense</t>
  </si>
  <si>
    <t>soft-hair marbleseed</t>
  </si>
  <si>
    <t>Onosmodium bejariense var. hispidissimum</t>
  </si>
  <si>
    <t>softhair marbleseed</t>
  </si>
  <si>
    <t>Lithospermum carolinianum</t>
  </si>
  <si>
    <t>Onosmodium hispidissimum</t>
  </si>
  <si>
    <t>Onosmodium hispidissimum var. macrospermum</t>
  </si>
  <si>
    <t>Onosmodium molle ssp. hispidissimum</t>
  </si>
  <si>
    <t>Onosmodium molle var. hispidissimum</t>
  </si>
  <si>
    <t>Onosmodium bejariense var. occidentale</t>
  </si>
  <si>
    <t>western marbleseed</t>
  </si>
  <si>
    <t>Onosmodium molle ssp. occidentale</t>
  </si>
  <si>
    <t>Onosmodium molle var. occidentale</t>
  </si>
  <si>
    <t>Onosmodium occidentale</t>
  </si>
  <si>
    <t>Onosmodium occidentale var. sylvestre</t>
  </si>
  <si>
    <t>Ophioglossum pusillum</t>
  </si>
  <si>
    <t>northern adderstongue</t>
  </si>
  <si>
    <t>Ophioglossum vulgatum</t>
  </si>
  <si>
    <t>Ophioglossum vulgatum var. alaskanum</t>
  </si>
  <si>
    <t>Ophioglossum vulgatum var. pseudopodum</t>
  </si>
  <si>
    <t>Orbexilum onobrychis</t>
  </si>
  <si>
    <t>Psoralea onobrychis</t>
  </si>
  <si>
    <t>Orobanche fasciculata</t>
  </si>
  <si>
    <t>clustered broomrape</t>
  </si>
  <si>
    <t>Anoplanthus fasciculatus</t>
  </si>
  <si>
    <t>Aphyllon fasciculatum</t>
  </si>
  <si>
    <t>Orobanche fasciculata var. franciscana</t>
  </si>
  <si>
    <t>Orobanche fasciculata var. lutea</t>
  </si>
  <si>
    <t>Orobanche fasciculata var. subulata</t>
  </si>
  <si>
    <t>Orobanche fasciculata var. typica</t>
  </si>
  <si>
    <t>Thalesia fasciculata</t>
  </si>
  <si>
    <t>Thalesia lutea</t>
  </si>
  <si>
    <t>Orobanche ludoviciana</t>
  </si>
  <si>
    <t>Louisiana broomrape</t>
  </si>
  <si>
    <t>Orobanche ludoviciana ssp. ludoviciana</t>
  </si>
  <si>
    <t>Aphyllon arenosum</t>
  </si>
  <si>
    <t>Conopholis ludoviciana</t>
  </si>
  <si>
    <t>Myzorrhiza ludoviciana</t>
  </si>
  <si>
    <t>Orobanche ludoviciana var. arenosa</t>
  </si>
  <si>
    <t>Orobanche ludoviciana var. genuina</t>
  </si>
  <si>
    <t>Orobanche multiflora var. arenosa</t>
  </si>
  <si>
    <t>Orobanche uniflora</t>
  </si>
  <si>
    <t>oneflowered broomrape</t>
  </si>
  <si>
    <t>Aphyllon uniflorum</t>
  </si>
  <si>
    <t>Orobanche porphyrantha</t>
  </si>
  <si>
    <t>Orobanche purpurea</t>
  </si>
  <si>
    <t>Orobanche sedii</t>
  </si>
  <si>
    <t>Orobanche terrae-novae</t>
  </si>
  <si>
    <t>Orobanche uniflora ssp. occidentalis</t>
  </si>
  <si>
    <t>Orobanche uniflora var. minuta</t>
  </si>
  <si>
    <t>Orobanche uniflora var. occidentalis</t>
  </si>
  <si>
    <t>Orobanche uniflora var. purpurea</t>
  </si>
  <si>
    <t>Orobanche uniflora var. sedii</t>
  </si>
  <si>
    <t>Orobanche uniflora var. terrae-novae</t>
  </si>
  <si>
    <t>Orobanche uniflora var. typica</t>
  </si>
  <si>
    <t>Thalesia uniflora</t>
  </si>
  <si>
    <t>Osmorhiza claytonii</t>
  </si>
  <si>
    <t>Clayton's sweetroot</t>
  </si>
  <si>
    <t>Osmorhiza aristata var. brevistylis</t>
  </si>
  <si>
    <t>Washingtonia claytonii</t>
  </si>
  <si>
    <t>Osmorhiza longistylis</t>
  </si>
  <si>
    <t>longstyle sweetroot</t>
  </si>
  <si>
    <t>Osmorhiza aristata var. longistylis</t>
  </si>
  <si>
    <t>Osmorhiza longistylis var. brachycoma</t>
  </si>
  <si>
    <t>Osmorhiza longistylis var. imbarbata</t>
  </si>
  <si>
    <t>Osmorhiza longistylis var. villicaulis</t>
  </si>
  <si>
    <t>Washingtonia longistylis</t>
  </si>
  <si>
    <t>Osmunda cinnamomea</t>
  </si>
  <si>
    <t>cinnamon fern</t>
  </si>
  <si>
    <t>Osmunda cinnamomea var. cinnamomea</t>
  </si>
  <si>
    <t>Osmunda cinnamomea var. frondosa</t>
  </si>
  <si>
    <t>Osmunda cinnamomea var. imbricata</t>
  </si>
  <si>
    <t>Osmunda claytoniana</t>
  </si>
  <si>
    <t>interrupted fern</t>
  </si>
  <si>
    <t>Osmunda regalis</t>
  </si>
  <si>
    <t>royal fern</t>
  </si>
  <si>
    <t>Osmunda regalis var. spectabilis</t>
  </si>
  <si>
    <t>Oxalis albicans</t>
  </si>
  <si>
    <t>radishroot woodsorrel</t>
  </si>
  <si>
    <t>Oxalis albicans ssp. albicans</t>
  </si>
  <si>
    <t>Oxalis californica var. subglabra</t>
  </si>
  <si>
    <t>Oxalis corniculata ssp. albicans</t>
  </si>
  <si>
    <t>Oxalis corniculata var. wrightii</t>
  </si>
  <si>
    <t>Oxalis pilosa var. wrightii</t>
  </si>
  <si>
    <t>Oxalis wrightii</t>
  </si>
  <si>
    <t>Xanthoxalis albicans</t>
  </si>
  <si>
    <t>Xanthoxalis wrightii</t>
  </si>
  <si>
    <t>Oxalis dillenii</t>
  </si>
  <si>
    <t>slender yellow woodsorrel</t>
  </si>
  <si>
    <t>Oxalis brittoniae</t>
  </si>
  <si>
    <t>Oxalis corniculata var. dillenii</t>
  </si>
  <si>
    <t>Oxalis dillenii ssp. filipes</t>
  </si>
  <si>
    <t>Oxalis dillenii var. radicans</t>
  </si>
  <si>
    <t>Oxalis filipes</t>
  </si>
  <si>
    <t>Oxalis florida</t>
  </si>
  <si>
    <t>Oxalis florida ssp. prostrata</t>
  </si>
  <si>
    <t>Oxalis florida var. filipes</t>
  </si>
  <si>
    <t>Oxalis prostrata</t>
  </si>
  <si>
    <t>Oxalis rupestris</t>
  </si>
  <si>
    <t>Oxalis stricta</t>
  </si>
  <si>
    <t>Xanthoxalis brittoniae</t>
  </si>
  <si>
    <t>Xanthoxalis dillenii</t>
  </si>
  <si>
    <t>Xanthoxalis filipes</t>
  </si>
  <si>
    <t>Xanthoxalis florida</t>
  </si>
  <si>
    <t>common yellow oxalis</t>
  </si>
  <si>
    <t>Ceratoxalis coloradensis</t>
  </si>
  <si>
    <t>Ceratoxalis cymosa</t>
  </si>
  <si>
    <t>Oxalis bushii</t>
  </si>
  <si>
    <t>Oxalis coloradensis</t>
  </si>
  <si>
    <t>Oxalis cymosa</t>
  </si>
  <si>
    <t>Oxalis europaea</t>
  </si>
  <si>
    <t>Oxalis europaea var. bushii</t>
  </si>
  <si>
    <t>Oxalis europaea var. rufa</t>
  </si>
  <si>
    <t>Oxalis fontana</t>
  </si>
  <si>
    <t>Oxalis fontana var. bushii</t>
  </si>
  <si>
    <t>Oxalis interior</t>
  </si>
  <si>
    <t>Oxalis rufa</t>
  </si>
  <si>
    <t>Oxalis stricta var. decumbens</t>
  </si>
  <si>
    <t>Oxalis stricta var. piletocarpa</t>
  </si>
  <si>
    <t>Oxalis stricta var. rufa</t>
  </si>
  <si>
    <t>Oxalis stricta var. villicaulis</t>
  </si>
  <si>
    <t>Xanthoxalis bushii</t>
  </si>
  <si>
    <t>Xanthoxalis coloradensis</t>
  </si>
  <si>
    <t>Xanthoxalis cymosa</t>
  </si>
  <si>
    <t>Xanthoxalis dillenii var. piletocarpa</t>
  </si>
  <si>
    <t>Xanthoxalis interior</t>
  </si>
  <si>
    <t>Xanthoxalis rufa</t>
  </si>
  <si>
    <t>Xanthoxalis stricta</t>
  </si>
  <si>
    <t>Xanthoxalis stricta var. piletocarpa</t>
  </si>
  <si>
    <t>Oxalis violacea</t>
  </si>
  <si>
    <t>violet woodsorrel</t>
  </si>
  <si>
    <t>Ionoxalis violacea</t>
  </si>
  <si>
    <t>Oxalis violacea var. trichophora</t>
  </si>
  <si>
    <t>Sassia violacea</t>
  </si>
  <si>
    <t>Oxypolis rigidior</t>
  </si>
  <si>
    <t>stiff cowbane</t>
  </si>
  <si>
    <t>Oxypolis longifolia</t>
  </si>
  <si>
    <t>Oxypolis rigidior var. ambigua</t>
  </si>
  <si>
    <t>Oxypolis rigidior var. longifolia</t>
  </si>
  <si>
    <t>Oxypolis turgida</t>
  </si>
  <si>
    <t>Oxytropis lambertii</t>
  </si>
  <si>
    <t>purple locoweed</t>
  </si>
  <si>
    <t>Oxytropis lambertii var. lambertii</t>
  </si>
  <si>
    <t>Oxytropis involuta</t>
  </si>
  <si>
    <t>Packera aurea</t>
  </si>
  <si>
    <t>golden ragwort</t>
  </si>
  <si>
    <t>Senecio aureus</t>
  </si>
  <si>
    <t>Senecio aureus var. aquilonius</t>
  </si>
  <si>
    <t>Senecio aureus var. gracilis</t>
  </si>
  <si>
    <t>Senecio aureus var. intercursus</t>
  </si>
  <si>
    <t>Senecio gracilis</t>
  </si>
  <si>
    <t>Packera glabella</t>
  </si>
  <si>
    <t>butterweed</t>
  </si>
  <si>
    <t>Senecio glabellus</t>
  </si>
  <si>
    <t>Senecio lobatus</t>
  </si>
  <si>
    <t>Packera paupercula</t>
  </si>
  <si>
    <t>balsam groundsel</t>
  </si>
  <si>
    <t>Senecio balsamitae</t>
  </si>
  <si>
    <t>Senecio crawfordii</t>
  </si>
  <si>
    <t>Senecio gaspensis</t>
  </si>
  <si>
    <t>Senecio gaspensis var. firmifolius</t>
  </si>
  <si>
    <t>Senecio pauperculus</t>
  </si>
  <si>
    <t>Senecio pauperculus var. balsamitae</t>
  </si>
  <si>
    <t>Senecio pauperculus var. crawfordii</t>
  </si>
  <si>
    <t>Senecio pauperculus var. firmifolius</t>
  </si>
  <si>
    <t>Senecio pauperculus var. neoscoticus</t>
  </si>
  <si>
    <t>Senecio pauperculus var. praelongus</t>
  </si>
  <si>
    <t>Senecio pauperculus var. thompsoniensis</t>
  </si>
  <si>
    <t>Senecio tweedyi</t>
  </si>
  <si>
    <t>Packera plattensis</t>
  </si>
  <si>
    <t>prairie groundsel</t>
  </si>
  <si>
    <t>Senecio plattensis</t>
  </si>
  <si>
    <t>Senecio pseudotomentosus</t>
  </si>
  <si>
    <t>Packera pseudaurea</t>
  </si>
  <si>
    <t>falsegold groundsel</t>
  </si>
  <si>
    <t>Packera pseudaurea var. semicordata</t>
  </si>
  <si>
    <t>Senecio aureus var. semicordatus</t>
  </si>
  <si>
    <t>Senecio pseudaureus ssp. semicordatus</t>
  </si>
  <si>
    <t>Senecio pseudaureus var. semicordatus</t>
  </si>
  <si>
    <t>Senecio semicordatus</t>
  </si>
  <si>
    <t>Panax quinquefolius</t>
  </si>
  <si>
    <t>American ginseng</t>
  </si>
  <si>
    <t>Parietaria pensylvanica</t>
  </si>
  <si>
    <t>Pennsylvania pellitory</t>
  </si>
  <si>
    <t>Parietaria obtusa</t>
  </si>
  <si>
    <t>Parietaria occidentalis</t>
  </si>
  <si>
    <t>Parietaria pensylvanica var. obtusa</t>
  </si>
  <si>
    <t>Parnassia glauca</t>
  </si>
  <si>
    <t>fen grass of Parnassus</t>
  </si>
  <si>
    <t>Parnassia americana</t>
  </si>
  <si>
    <t>Paronychia canadensis</t>
  </si>
  <si>
    <t>smooth forked nailwort</t>
  </si>
  <si>
    <t>Anychia canadensis</t>
  </si>
  <si>
    <t>Anychia dichotoma</t>
  </si>
  <si>
    <t>Paronychia dichotoma</t>
  </si>
  <si>
    <t>Paronychia fastigiata</t>
  </si>
  <si>
    <t>hairy forked nailwort</t>
  </si>
  <si>
    <t>Paronychia fastigiata var. fastigiata</t>
  </si>
  <si>
    <t>Anychia polygonoides</t>
  </si>
  <si>
    <t>Paronychia fastigiata var. typica</t>
  </si>
  <si>
    <t>Parthenium integrifolium</t>
  </si>
  <si>
    <t>wild quinine</t>
  </si>
  <si>
    <t>Parthenium integrifolium var. integrifolium</t>
  </si>
  <si>
    <t>Parthenium integrifolium var. henryanum</t>
  </si>
  <si>
    <t>Pedicularis canadensis</t>
  </si>
  <si>
    <t>Canadian lousewort</t>
  </si>
  <si>
    <t>Pedicularis canadensis ssp. canadensis</t>
  </si>
  <si>
    <t>Pedicularis canadensis var. dobbsii</t>
  </si>
  <si>
    <t>Pedicularis gladiata</t>
  </si>
  <si>
    <t>Pedicularis lanceolata</t>
  </si>
  <si>
    <t>swamp lousewort</t>
  </si>
  <si>
    <t>Pedicularis auriculata</t>
  </si>
  <si>
    <t>Pedicularis pallida</t>
  </si>
  <si>
    <t>Pedicularis virginica</t>
  </si>
  <si>
    <t>Pediomelum argophyllum</t>
  </si>
  <si>
    <t>silverleaf Indian breadroot</t>
  </si>
  <si>
    <t>Psoralea argophylla</t>
  </si>
  <si>
    <t>Psoralea collina</t>
  </si>
  <si>
    <t>Psoralidium argophyllum</t>
  </si>
  <si>
    <t>Pediomelum esculentum</t>
  </si>
  <si>
    <t>large Indian breadroot</t>
  </si>
  <si>
    <t>Psoralea esculenta</t>
  </si>
  <si>
    <t>Pellaea atropurpurea</t>
  </si>
  <si>
    <t>purple cliffbrake</t>
  </si>
  <si>
    <t>Pellaea glabella</t>
  </si>
  <si>
    <t>smooth cliffbrake</t>
  </si>
  <si>
    <t>Pellaea glabella ssp. glabella</t>
  </si>
  <si>
    <t>Pellaea atropurpurea var. bushii</t>
  </si>
  <si>
    <t>Peltandra virginica</t>
  </si>
  <si>
    <t>green arrow arum</t>
  </si>
  <si>
    <t>Peltandra tharpii</t>
  </si>
  <si>
    <t>Penstemon albidus</t>
  </si>
  <si>
    <t>white penstemon</t>
  </si>
  <si>
    <t>Penstemon cobaea</t>
  </si>
  <si>
    <t>cobaea beardtongue</t>
  </si>
  <si>
    <t>Penstemon cobaea ssp. purpureus</t>
  </si>
  <si>
    <t>Penstemon cobaea ssp. typicus</t>
  </si>
  <si>
    <t>Penstemon cobaea var. purpureus</t>
  </si>
  <si>
    <t>Penstemon digitalis</t>
  </si>
  <si>
    <t>talus slope penstemon</t>
  </si>
  <si>
    <t>Penstemon laevigatus ssp. digitalis</t>
  </si>
  <si>
    <t>Penstemon laevigatus var. angulatus</t>
  </si>
  <si>
    <t>Penstemon gracilis</t>
  </si>
  <si>
    <t>lilac penstemon</t>
  </si>
  <si>
    <t>Penstemon gracilis var. gracilis</t>
  </si>
  <si>
    <t>Penstemon glaucus</t>
  </si>
  <si>
    <t>Penstemon grandiflorus</t>
  </si>
  <si>
    <t>large beardtongue</t>
  </si>
  <si>
    <t>Penstemon bradburii</t>
  </si>
  <si>
    <t>Penstemon pallidus</t>
  </si>
  <si>
    <t>pale beardtongue</t>
  </si>
  <si>
    <t>Penstemon arkansanus var. pubescens</t>
  </si>
  <si>
    <t>Penstemon brevisepalus</t>
  </si>
  <si>
    <t>Penstemon tubiflorus</t>
  </si>
  <si>
    <t>white wand beardtongue</t>
  </si>
  <si>
    <t>Penstemon tubiflorus var. tubiflorus</t>
  </si>
  <si>
    <t>Penthorum sedoides</t>
  </si>
  <si>
    <t>ditch stonecrop</t>
  </si>
  <si>
    <t>Phacelia bipinnatifida</t>
  </si>
  <si>
    <t>fernleaf phacelia</t>
  </si>
  <si>
    <t>Phacelia bipinnatifida var. plummeri</t>
  </si>
  <si>
    <t>Phacelia brevistyla</t>
  </si>
  <si>
    <t>Phaseolus polystachios</t>
  </si>
  <si>
    <t>thicket bean</t>
  </si>
  <si>
    <t>Phaseolus polystachios var. polystachios</t>
  </si>
  <si>
    <t>Phaseolus polystachios var. aquilonius</t>
  </si>
  <si>
    <t>Phaseolus smilacifolius</t>
  </si>
  <si>
    <t>Phegopteris connectilis</t>
  </si>
  <si>
    <t>long beechfern</t>
  </si>
  <si>
    <t>Dryopteris phegopteris</t>
  </si>
  <si>
    <t>Lastrea phegopteris</t>
  </si>
  <si>
    <t>Phegopteris polypodioides</t>
  </si>
  <si>
    <t>Thelypteris phegopteris</t>
  </si>
  <si>
    <t>Phegopteris hexagonoptera</t>
  </si>
  <si>
    <t>broad beechfern</t>
  </si>
  <si>
    <t>Dryopteris hexagonoptera</t>
  </si>
  <si>
    <t>Thelypteris hexagonoptera</t>
  </si>
  <si>
    <t>Phemeranthus parviflorus</t>
  </si>
  <si>
    <t>sunbright</t>
  </si>
  <si>
    <t>Talinum appalachianum</t>
  </si>
  <si>
    <t>Talinum parviflorum</t>
  </si>
  <si>
    <t>Phemeranthus rugospermus</t>
  </si>
  <si>
    <t>prairie fameflower</t>
  </si>
  <si>
    <t>Talinum rugospermum</t>
  </si>
  <si>
    <t>Phlox divaricata</t>
  </si>
  <si>
    <t>wild blue phlox</t>
  </si>
  <si>
    <t>Phlox divaricata ssp. laphamii</t>
  </si>
  <si>
    <t>Lapham's phlox</t>
  </si>
  <si>
    <t>Phlox divaricata var. laphamii</t>
  </si>
  <si>
    <t>Phlox maculata</t>
  </si>
  <si>
    <t>wild sweetwilliam</t>
  </si>
  <si>
    <t>Phlox maculata ssp. maculata</t>
  </si>
  <si>
    <t>Phlox maculata var. odorata</t>
  </si>
  <si>
    <t>Phlox paniculata</t>
  </si>
  <si>
    <t>fall phlox</t>
  </si>
  <si>
    <t>Phlox pilosa</t>
  </si>
  <si>
    <t>downy phlox</t>
  </si>
  <si>
    <t>Phlox pilosa ssp. fulgida</t>
  </si>
  <si>
    <t>Phlox pilosa var. fulgida</t>
  </si>
  <si>
    <t>Phlox pilosa ssp. pilosa</t>
  </si>
  <si>
    <t>Phlox argillacea</t>
  </si>
  <si>
    <t>Phlox pilosa var. virens</t>
  </si>
  <si>
    <t>Phlox villosissima</t>
  </si>
  <si>
    <t>Phlox subulata</t>
  </si>
  <si>
    <t>moss phlox</t>
  </si>
  <si>
    <t>Phlox subulata ssp. subulata</t>
  </si>
  <si>
    <t>Phryma leptostachya</t>
  </si>
  <si>
    <t>American lopseed</t>
  </si>
  <si>
    <t>Phryma leptostachya var. confertifolia</t>
  </si>
  <si>
    <t>Phyla lanceolata</t>
  </si>
  <si>
    <t>lanceleaf fogfruit</t>
  </si>
  <si>
    <t>Lippia lanceolata</t>
  </si>
  <si>
    <t>Lippia lanceolata var. recognita</t>
  </si>
  <si>
    <t>Phyla lanceolata var. recognita</t>
  </si>
  <si>
    <t>Physalis grisea</t>
  </si>
  <si>
    <t>strawberry-tomato</t>
  </si>
  <si>
    <t>Physalis pruinosa</t>
  </si>
  <si>
    <t>Physalis pubescens var. grisea</t>
  </si>
  <si>
    <t>Physalis heterophylla</t>
  </si>
  <si>
    <t>clammy groundcherry</t>
  </si>
  <si>
    <t>Physalis heterophylla var. heterophylla</t>
  </si>
  <si>
    <t>Physalis ambigua</t>
  </si>
  <si>
    <t>Physalis heterophylla var. ambigua</t>
  </si>
  <si>
    <t>Physalis heterophylla var. clavipes</t>
  </si>
  <si>
    <t>Physalis heterophylla var. nyctaginea</t>
  </si>
  <si>
    <t>Physalis heterophylla var. villosa</t>
  </si>
  <si>
    <t>Physalis nyctaginea</t>
  </si>
  <si>
    <t>Physalis sinuata</t>
  </si>
  <si>
    <t>Physalis hispida</t>
  </si>
  <si>
    <t>prairie groundcherry</t>
  </si>
  <si>
    <t>Physalis lanceolata</t>
  </si>
  <si>
    <t>Physalis longifolia var. hispida</t>
  </si>
  <si>
    <t>Physalis pumila ssp. hispida</t>
  </si>
  <si>
    <t>Physalis virginiana var. hispida</t>
  </si>
  <si>
    <t>Physalis longifolia</t>
  </si>
  <si>
    <t>longleaf groundcherry</t>
  </si>
  <si>
    <t>Physalis longifolia var. longifolia</t>
  </si>
  <si>
    <t>Physalis pumila var. sonorae</t>
  </si>
  <si>
    <t>Physalis rigida</t>
  </si>
  <si>
    <t>Physalis virginiana var. sonorae</t>
  </si>
  <si>
    <t>Physalis longifolia var. subglabrata</t>
  </si>
  <si>
    <t>Physalis macrophysa</t>
  </si>
  <si>
    <t>Physalis subglabrata</t>
  </si>
  <si>
    <t>Physalis virginiana var. subglabrata</t>
  </si>
  <si>
    <t>Physalis pubescens</t>
  </si>
  <si>
    <t>husk tomato</t>
  </si>
  <si>
    <t>Physalis pubescens var. integrifolia</t>
  </si>
  <si>
    <t>Physalis pubescens var. pubescens</t>
  </si>
  <si>
    <t>Physalis barbadensis</t>
  </si>
  <si>
    <t>Physalis floridana</t>
  </si>
  <si>
    <t>Physalis pumila</t>
  </si>
  <si>
    <t>dwarf groundcherry</t>
  </si>
  <si>
    <t>Physalis virginiana</t>
  </si>
  <si>
    <t>Virginia groundcherry</t>
  </si>
  <si>
    <t>Physalis virginiana var. virginiana</t>
  </si>
  <si>
    <t>Physalis intermedia</t>
  </si>
  <si>
    <t>Physalis monticola</t>
  </si>
  <si>
    <t>Physostegia parviflora</t>
  </si>
  <si>
    <t>western false dragonhead</t>
  </si>
  <si>
    <t>Dracocephalum nuttallii</t>
  </si>
  <si>
    <t>Physostegia nuttallii</t>
  </si>
  <si>
    <t>Physostegia virginiana var. parviflora</t>
  </si>
  <si>
    <t>Physostegia virginiana</t>
  </si>
  <si>
    <t>obedient plant</t>
  </si>
  <si>
    <t>Physostegia virginiana ssp. praemorsa</t>
  </si>
  <si>
    <t>Physostegia praemorsa</t>
  </si>
  <si>
    <t>Physostegia serotina</t>
  </si>
  <si>
    <t>Physostegia virginiana var. arenaria</t>
  </si>
  <si>
    <t>Physostegia virginiana var. reducta</t>
  </si>
  <si>
    <t>Physostegia virginiana ssp. virginiana</t>
  </si>
  <si>
    <t>Dracocephalum denticulatum</t>
  </si>
  <si>
    <t>Dracocephalum formosius</t>
  </si>
  <si>
    <t>Dracocephalum virginianum</t>
  </si>
  <si>
    <t>Physostegia denticulata</t>
  </si>
  <si>
    <t>Physostegia formosior</t>
  </si>
  <si>
    <t>Physostegia speciosa</t>
  </si>
  <si>
    <t>Physostegia virginiana var. elongata</t>
  </si>
  <si>
    <t>Physostegia virginiana var. formosior</t>
  </si>
  <si>
    <t>Physostegia virginiana var. granulosa</t>
  </si>
  <si>
    <t>Physostegia virginiana var. speciosa</t>
  </si>
  <si>
    <t>Phytolacca americana</t>
  </si>
  <si>
    <t>American pokeweed</t>
  </si>
  <si>
    <t>Phytolacca americana var. americana</t>
  </si>
  <si>
    <t>Phytolacca decandra</t>
  </si>
  <si>
    <t>Pilea fontana</t>
  </si>
  <si>
    <t>lesser clearweed</t>
  </si>
  <si>
    <t>Adicea fontana</t>
  </si>
  <si>
    <t>Pilea opaca</t>
  </si>
  <si>
    <t>Pilea pumila</t>
  </si>
  <si>
    <t>Canadian clearweed</t>
  </si>
  <si>
    <t>Pilea pumila var. deamii</t>
  </si>
  <si>
    <t>Deam's clearweed</t>
  </si>
  <si>
    <t>Pilea pumila var. pumila</t>
  </si>
  <si>
    <t>Adicea pumila</t>
  </si>
  <si>
    <t>Urtica pumila</t>
  </si>
  <si>
    <t>Plantago aristata</t>
  </si>
  <si>
    <t>largebracted plantain</t>
  </si>
  <si>
    <t>Plantago aristata var. nuttallii</t>
  </si>
  <si>
    <t>Plantago patagonica var. aristata</t>
  </si>
  <si>
    <t>Plantago cordata</t>
  </si>
  <si>
    <t>heartleaf plantain</t>
  </si>
  <si>
    <t>Plantago eriopoda</t>
  </si>
  <si>
    <t>redwool plantain</t>
  </si>
  <si>
    <t>Plantago shastensis</t>
  </si>
  <si>
    <t>woolly plantain</t>
  </si>
  <si>
    <t>Plantago patagonica var. breviscapa</t>
  </si>
  <si>
    <t>Plantago patagonica var. gnaphalioides</t>
  </si>
  <si>
    <t>Plantago patagonica var. oblonga</t>
  </si>
  <si>
    <t>Plantago patagonica var. spinulosa</t>
  </si>
  <si>
    <t>Plantago picta</t>
  </si>
  <si>
    <t>Plantago purshii</t>
  </si>
  <si>
    <t>Plantago purshii var. breviscapa</t>
  </si>
  <si>
    <t>Plantago purshii var. oblonga</t>
  </si>
  <si>
    <t>Plantago purshii var. picta</t>
  </si>
  <si>
    <t>Plantago purshii var. spinulosa</t>
  </si>
  <si>
    <t>Plantago spinulosa</t>
  </si>
  <si>
    <t>Plantago wyomingensis</t>
  </si>
  <si>
    <t>Plantago rugelii</t>
  </si>
  <si>
    <t>blackseed plantain</t>
  </si>
  <si>
    <t>Plantago rugelii var. rugelii</t>
  </si>
  <si>
    <t>Plantago virginica</t>
  </si>
  <si>
    <t>Virginia plantain</t>
  </si>
  <si>
    <t>Plantago virginica var. viridescens</t>
  </si>
  <si>
    <t>Platanthera aquilonis</t>
  </si>
  <si>
    <t>northern green orchid</t>
  </si>
  <si>
    <t>Habenaria hyperborea</t>
  </si>
  <si>
    <t>Platanthera hyperborea</t>
  </si>
  <si>
    <t>Platanthera clavellata</t>
  </si>
  <si>
    <t>small green wood orchid</t>
  </si>
  <si>
    <t>Gymnadeniopsis clavellata</t>
  </si>
  <si>
    <t>Habenaria clavellata</t>
  </si>
  <si>
    <t>Habenaria clavellata var. ophioglossoides</t>
  </si>
  <si>
    <t>Habenaria clavellata var. wrightii</t>
  </si>
  <si>
    <t>Platanthera dilatata</t>
  </si>
  <si>
    <t>scentbottle</t>
  </si>
  <si>
    <t>Platanthera dilatata var. dilatata</t>
  </si>
  <si>
    <t>Habenaria dilatata</t>
  </si>
  <si>
    <t>Limnorchis dilatata</t>
  </si>
  <si>
    <t>Platanthera dilatata var. angustifolia</t>
  </si>
  <si>
    <t>Platanthera flava</t>
  </si>
  <si>
    <t>palegreen orchid</t>
  </si>
  <si>
    <t>Platanthera flava var. herbiola</t>
  </si>
  <si>
    <t>Habenaria flava var. herbiola</t>
  </si>
  <si>
    <t>Habenaria flava var. virescens</t>
  </si>
  <si>
    <t>Platanthera hookeri</t>
  </si>
  <si>
    <t>Hooker's orchid</t>
  </si>
  <si>
    <t>Habenaria hookeri</t>
  </si>
  <si>
    <t>Habenaria hookeri var. abbreviata</t>
  </si>
  <si>
    <t>Lysias hookeriana</t>
  </si>
  <si>
    <t>Platanthera huronensis</t>
  </si>
  <si>
    <t>Huron green orchid</t>
  </si>
  <si>
    <t>Habenaria huronensis</t>
  </si>
  <si>
    <t>Habenaria hyperborea var. huronensis</t>
  </si>
  <si>
    <t>Platanthera hyperborea var. huronensis</t>
  </si>
  <si>
    <t>Platanthera hyperborea var. major</t>
  </si>
  <si>
    <t>Platanthera lacera</t>
  </si>
  <si>
    <t>green fringed orchid</t>
  </si>
  <si>
    <t>Blephariglotis lacera</t>
  </si>
  <si>
    <t>Habenaria lacera</t>
  </si>
  <si>
    <t>Platanthera leucophaea</t>
  </si>
  <si>
    <t>prairie white fringed orchid</t>
  </si>
  <si>
    <t>Blephariglotis leucophaea</t>
  </si>
  <si>
    <t>Habenaria leucophaea</t>
  </si>
  <si>
    <t>Platanthera praeclara</t>
  </si>
  <si>
    <t>Great Plains white fringed orchid</t>
  </si>
  <si>
    <t>Habenaria leucophaea var. praeclara</t>
  </si>
  <si>
    <t>Platanthera psycodes</t>
  </si>
  <si>
    <t>lesser purple fringed orchid</t>
  </si>
  <si>
    <t>Blephariglotis psycodes</t>
  </si>
  <si>
    <t>Habenaria psycodes</t>
  </si>
  <si>
    <t>Podophyllum peltatum</t>
  </si>
  <si>
    <t>mayapple</t>
  </si>
  <si>
    <t>Polanisia dodecandra</t>
  </si>
  <si>
    <t>redwhisker clammyweed</t>
  </si>
  <si>
    <t>Polanisia dodecandra ssp. dodecandra</t>
  </si>
  <si>
    <t>Polanisia graveolens</t>
  </si>
  <si>
    <t>Polanisia dodecandra ssp. trachysperma</t>
  </si>
  <si>
    <t>sandyseed clammyweed</t>
  </si>
  <si>
    <t>Polanisia dodecandra var. trachysperma</t>
  </si>
  <si>
    <t>Polanisia trachysperma</t>
  </si>
  <si>
    <t>Polanisia jamesii</t>
  </si>
  <si>
    <t>James' clammyweed</t>
  </si>
  <si>
    <t>Cristatella jamesii</t>
  </si>
  <si>
    <t>Polemonium reptans</t>
  </si>
  <si>
    <t>Greek valerian</t>
  </si>
  <si>
    <t>Polemonium reptans var. reptans</t>
  </si>
  <si>
    <t>Polygala cruciata</t>
  </si>
  <si>
    <t>drumheads</t>
  </si>
  <si>
    <t>Polygala cruciata var. aquilonia</t>
  </si>
  <si>
    <t>Polygala incarnata</t>
  </si>
  <si>
    <t>procession flower</t>
  </si>
  <si>
    <t>Galypola incarnata</t>
  </si>
  <si>
    <t>Polygala polygama</t>
  </si>
  <si>
    <t>racemed milkwort</t>
  </si>
  <si>
    <t>Polygala aboriginum</t>
  </si>
  <si>
    <t>Polygala polygama var. obtusata</t>
  </si>
  <si>
    <t>Polygala polygama var. ramulosa</t>
  </si>
  <si>
    <t>Polygala sanguinea</t>
  </si>
  <si>
    <t>purple milkwort</t>
  </si>
  <si>
    <t>Polygala viridescens</t>
  </si>
  <si>
    <t>Polygala senega</t>
  </si>
  <si>
    <t>Seneca snakeroot</t>
  </si>
  <si>
    <t>Polygala senega var. latifolia</t>
  </si>
  <si>
    <t>Polygala verticillata</t>
  </si>
  <si>
    <t>whorled milkwort</t>
  </si>
  <si>
    <t>Polygala verticillata var. isocycla</t>
  </si>
  <si>
    <t>Polygala verticillata var. sphenostachya</t>
  </si>
  <si>
    <t>Polygonatum biflorum</t>
  </si>
  <si>
    <t>smooth Solomon's seal</t>
  </si>
  <si>
    <t>Polygonatum biflorum var. commutatum</t>
  </si>
  <si>
    <t>Convallaria biflora</t>
  </si>
  <si>
    <t>Polygonatum canaliculatum</t>
  </si>
  <si>
    <t>Polygonatum commutatum</t>
  </si>
  <si>
    <t>Polygonatum pubescens</t>
  </si>
  <si>
    <t>hairy Solomon's seal</t>
  </si>
  <si>
    <t>Convallaria pubescens</t>
  </si>
  <si>
    <t>Polygonella articulata</t>
  </si>
  <si>
    <t>coastal jointweed</t>
  </si>
  <si>
    <t>Delopyrum articulatum</t>
  </si>
  <si>
    <t>Polygonum articulatum</t>
  </si>
  <si>
    <t>Polygonum achoreum</t>
  </si>
  <si>
    <t>leathery knotweed</t>
  </si>
  <si>
    <t>Polygonum erectum ssp. achoreum</t>
  </si>
  <si>
    <t>Polygonum amphibium</t>
  </si>
  <si>
    <t>water knotweed</t>
  </si>
  <si>
    <t>Polygonum amphibium var. emersum</t>
  </si>
  <si>
    <t>longroot smartweed</t>
  </si>
  <si>
    <t>Persicaria amphibia</t>
  </si>
  <si>
    <t>Persicaria amphibia var. emersa</t>
  </si>
  <si>
    <t>Persicaria coccinea</t>
  </si>
  <si>
    <t>Persicaria muehlenbergii</t>
  </si>
  <si>
    <t>Polygonum amphibium var. coccineum</t>
  </si>
  <si>
    <t>Polygonum coccineum</t>
  </si>
  <si>
    <t>Polygonum coccineum var. pratincola</t>
  </si>
  <si>
    <t>Polygonum coccineum var. terrestre</t>
  </si>
  <si>
    <t>Polygonum muehlenbergii</t>
  </si>
  <si>
    <t>Polygonum muehlenbergii var. terrestre</t>
  </si>
  <si>
    <t>Polygonum amphibium var. stipulaceum</t>
  </si>
  <si>
    <t>water smartweed</t>
  </si>
  <si>
    <t>Persicaria amphibia var. stipulacea</t>
  </si>
  <si>
    <t>Persicaria mesochora</t>
  </si>
  <si>
    <t>Persicaria nebraskensis</t>
  </si>
  <si>
    <t>Polygonum amphibium ssp. laevimarginatum</t>
  </si>
  <si>
    <t>Polygonum amphibium var. hartwrightii</t>
  </si>
  <si>
    <t>Polygonum coccineum var. rigidulum</t>
  </si>
  <si>
    <t>Polygonum fluitans</t>
  </si>
  <si>
    <t>Polygonum hartwrightii</t>
  </si>
  <si>
    <t>Polygonum inundatum</t>
  </si>
  <si>
    <t>Polygonum natans</t>
  </si>
  <si>
    <t>Polygonum bellardii</t>
  </si>
  <si>
    <t>narrowleaf knotweed</t>
  </si>
  <si>
    <t>Polygonum aviculare var. angustissimum</t>
  </si>
  <si>
    <t>Polygonum neglectum</t>
  </si>
  <si>
    <t>Polygonum provinciale</t>
  </si>
  <si>
    <t>Polygonum rurivagum</t>
  </si>
  <si>
    <t>Polygonum buxiforme</t>
  </si>
  <si>
    <t>box knotweed</t>
  </si>
  <si>
    <t>Polygonum aviculare var. littorale</t>
  </si>
  <si>
    <t>Polygonum littorale</t>
  </si>
  <si>
    <t>Polygonum douglasii</t>
  </si>
  <si>
    <t>Douglas' knotweed</t>
  </si>
  <si>
    <t>Polygonum douglasii ssp. douglasii</t>
  </si>
  <si>
    <t>Polygonum buxiforme var. montanum</t>
  </si>
  <si>
    <t>Polygonum douglasii var. latifolium</t>
  </si>
  <si>
    <t>Polygonum emaciatum</t>
  </si>
  <si>
    <t>Polygonum montanum</t>
  </si>
  <si>
    <t>Polygonum erectum</t>
  </si>
  <si>
    <t>erect knotweed</t>
  </si>
  <si>
    <t>Polygonum aviculare var. erectum</t>
  </si>
  <si>
    <t>Polygonum hydropiperoides</t>
  </si>
  <si>
    <t>swamp smartweed</t>
  </si>
  <si>
    <t>Persicaria hydropiperoides</t>
  </si>
  <si>
    <t>Persicaria hydropiperoides var. breviciliata</t>
  </si>
  <si>
    <t>Persicaria hydropiperoides var. euronotora</t>
  </si>
  <si>
    <t>Persicaria hydropiperoides var. opelousana</t>
  </si>
  <si>
    <t>Persicaria opelousana</t>
  </si>
  <si>
    <t>Persicaria paludicola</t>
  </si>
  <si>
    <t>Persicaria persicarioides</t>
  </si>
  <si>
    <t>Polygonum hydropiperoides var. adenocalyx</t>
  </si>
  <si>
    <t>Polygonum hydropiperoides var. asperifolium</t>
  </si>
  <si>
    <t>Polygonum hydropiperoides var. breviciliatum</t>
  </si>
  <si>
    <t>Polygonum hydropiperoides var. bushianum</t>
  </si>
  <si>
    <t>Polygonum hydropiperoides var. digitatum</t>
  </si>
  <si>
    <t>Polygonum hydropiperoides var. euronotorum</t>
  </si>
  <si>
    <t>Polygonum hydropiperoides var. opelousanum</t>
  </si>
  <si>
    <t>Polygonum hydropiperoides var. psilostachyum</t>
  </si>
  <si>
    <t>Polygonum hydropiperoides var. strigosum</t>
  </si>
  <si>
    <t>Polygonum opelousanum</t>
  </si>
  <si>
    <t>Polygonum opelousanum var. adenocalyx</t>
  </si>
  <si>
    <t>Polygonum persicarioides</t>
  </si>
  <si>
    <t>Polygonum lapathifolium</t>
  </si>
  <si>
    <t>curlytop knotweed</t>
  </si>
  <si>
    <t>Persicaria incarnata</t>
  </si>
  <si>
    <t>Persicaria lapathifolia</t>
  </si>
  <si>
    <t>Persicaria tomentosa</t>
  </si>
  <si>
    <t>Polygonum incanum</t>
  </si>
  <si>
    <t>Polygonum incarnatum</t>
  </si>
  <si>
    <t>Polygonum lapathifolium ssp. pallidum</t>
  </si>
  <si>
    <t>Polygonum lapathifolium var. incanum</t>
  </si>
  <si>
    <t>Polygonum lapathifolium var. nodosum</t>
  </si>
  <si>
    <t>Polygonum lapathifolium var. ovatum</t>
  </si>
  <si>
    <t>Polygonum lapathifolium var. prostratum</t>
  </si>
  <si>
    <t>Polygonum lapathifolium var. salicifolium</t>
  </si>
  <si>
    <t>Polygonum nodosum</t>
  </si>
  <si>
    <t>Polygonum oneillii</t>
  </si>
  <si>
    <t>Polygonum pensylvanicum ssp. oneillii</t>
  </si>
  <si>
    <t>Polygonum scabrum</t>
  </si>
  <si>
    <t>Polygonum tomentosum</t>
  </si>
  <si>
    <t>Polygonum pensylvanicum</t>
  </si>
  <si>
    <t>Pennsylvania smartweed</t>
  </si>
  <si>
    <t>Persicaria bicornis</t>
  </si>
  <si>
    <t>Persicaria longistyla</t>
  </si>
  <si>
    <t>Persicaria mississippiensis</t>
  </si>
  <si>
    <t>Persicaria pensylvanica</t>
  </si>
  <si>
    <t>Persicaria pensylvanica var. dura</t>
  </si>
  <si>
    <t>Polygonum bicorne</t>
  </si>
  <si>
    <t>Polygonum longistylum</t>
  </si>
  <si>
    <t>Polygonum longistylum var. omissum</t>
  </si>
  <si>
    <t>Polygonum mexicanum</t>
  </si>
  <si>
    <t>Polygonum mississippiense</t>
  </si>
  <si>
    <t>Polygonum mississippiense var. interius</t>
  </si>
  <si>
    <t>Polygonum pensylvanicum var. durum</t>
  </si>
  <si>
    <t>Polygonum pensylvanicum var. eglandulosum</t>
  </si>
  <si>
    <t>Polygonum pensylvanicum var. genuinum</t>
  </si>
  <si>
    <t>Polygonum pensylvanicum var. laevigatum</t>
  </si>
  <si>
    <t>Polygonum pensylvanicum var. rosiflorum</t>
  </si>
  <si>
    <t>Polygonum punctatum</t>
  </si>
  <si>
    <t>dotted smartweed</t>
  </si>
  <si>
    <t>Polygonum punctatum var. confertiflorum</t>
  </si>
  <si>
    <t>Persicaria punctata var. leptostachya</t>
  </si>
  <si>
    <t>Polygonum punctatum var. leptostachyum</t>
  </si>
  <si>
    <t>Polygonum punctatum var. parvum</t>
  </si>
  <si>
    <t>Polygonum punctatum var. punctatum</t>
  </si>
  <si>
    <t>Persicaria punctata</t>
  </si>
  <si>
    <t>Persicaria punctata var. eciliata</t>
  </si>
  <si>
    <t>Polygonum acre</t>
  </si>
  <si>
    <t>Polygonum punctatum var. aquatile</t>
  </si>
  <si>
    <t>Polygonum punctatum var. ellipticum</t>
  </si>
  <si>
    <t>Polygonum punctatum var. parviflorum</t>
  </si>
  <si>
    <t>Polygonum ramosissimum</t>
  </si>
  <si>
    <t>bushy knotweed</t>
  </si>
  <si>
    <t>Polygonum ramosissimum var. ramosissimum</t>
  </si>
  <si>
    <t>Polygonum allocarpum</t>
  </si>
  <si>
    <t>Polygonum atlanticum</t>
  </si>
  <si>
    <t>Polygonum autumnale</t>
  </si>
  <si>
    <t>Polygonum exsertum</t>
  </si>
  <si>
    <t>Polygonum interius</t>
  </si>
  <si>
    <t>Polygonum triangulum</t>
  </si>
  <si>
    <t>Polygonum sagittatum</t>
  </si>
  <si>
    <t>arrowleaf tearthumb</t>
  </si>
  <si>
    <t>Persicaria sagittata</t>
  </si>
  <si>
    <t>Polygonum sagittatum var. gracilentum</t>
  </si>
  <si>
    <t>Tracaulon sagittatum</t>
  </si>
  <si>
    <t>Tracaulon sagittatum var. gracilentum</t>
  </si>
  <si>
    <t>Truellum sagittatum</t>
  </si>
  <si>
    <t>Polygonum scandens</t>
  </si>
  <si>
    <t>climbing false buckwheat</t>
  </si>
  <si>
    <t>Polygonum scandens var. cristatum</t>
  </si>
  <si>
    <t>Bilderdykia cristata</t>
  </si>
  <si>
    <t>Bilderdykia scandens var. cristata</t>
  </si>
  <si>
    <t>Polygonum cristatum</t>
  </si>
  <si>
    <t>Reynoutria scandens var. cristata</t>
  </si>
  <si>
    <t>Tiniaria cristata</t>
  </si>
  <si>
    <t>Polygonum scandens var. dumetorum</t>
  </si>
  <si>
    <t>Bilderdykia dumetorum</t>
  </si>
  <si>
    <t>Polygonum dumetorum</t>
  </si>
  <si>
    <t>Reynoutria scandens var. dumetorum</t>
  </si>
  <si>
    <t>Tiniaria dumetorum</t>
  </si>
  <si>
    <t>Polygonum tenue</t>
  </si>
  <si>
    <t>pleatleaf knotweed</t>
  </si>
  <si>
    <t>Polygonum tenue var. protrusum</t>
  </si>
  <si>
    <t>Polygonum virginianum</t>
  </si>
  <si>
    <t>jumpseed</t>
  </si>
  <si>
    <t>Antenoron virginianum</t>
  </si>
  <si>
    <t>Persicaria virginiana</t>
  </si>
  <si>
    <t>Polygonum virginianum var. glaberrimum</t>
  </si>
  <si>
    <t>Tovara virginiana</t>
  </si>
  <si>
    <t>Tovara virginiana var. glaberrima</t>
  </si>
  <si>
    <t>Polymnia canadensis</t>
  </si>
  <si>
    <t>whiteflower leafcup</t>
  </si>
  <si>
    <t>Polymnia canadensis var. radiata</t>
  </si>
  <si>
    <t>Polymnia radiata</t>
  </si>
  <si>
    <t>Polypodium virginianum</t>
  </si>
  <si>
    <t>rock polypody</t>
  </si>
  <si>
    <t>Polypodium vulgare</t>
  </si>
  <si>
    <t>Polypodium vulgare var. virginianum</t>
  </si>
  <si>
    <t>Polystichum acrostichoides</t>
  </si>
  <si>
    <t>Christmas fern</t>
  </si>
  <si>
    <t>Polystichum acrostichoides var. acrostichoides</t>
  </si>
  <si>
    <t>Polystichum acrostichoides var. schweinitzii</t>
  </si>
  <si>
    <t>Polytaenia nuttallii</t>
  </si>
  <si>
    <t>Nuttall's prairie parsley</t>
  </si>
  <si>
    <t>Pleiotaenia nuttallii</t>
  </si>
  <si>
    <t>pickerelweed</t>
  </si>
  <si>
    <t>Pontederia cordata var. angustifolia</t>
  </si>
  <si>
    <t>Pontederia cordata var. lanceolata</t>
  </si>
  <si>
    <t>Pontederia cordata var. lancifolia</t>
  </si>
  <si>
    <t>Pontederia lanceolata</t>
  </si>
  <si>
    <t>Portulaca oleracea</t>
  </si>
  <si>
    <t>little hogweed</t>
  </si>
  <si>
    <t>Portulaca neglecta</t>
  </si>
  <si>
    <t>Portulaca oleracea ssp. granulatostellulata</t>
  </si>
  <si>
    <t>Portulaca oleracea ssp. impolita</t>
  </si>
  <si>
    <t>Portulaca oleracea ssp. nicaraguensis</t>
  </si>
  <si>
    <t>Portulaca oleracea ssp. nitida</t>
  </si>
  <si>
    <t>Portulaca oleracea ssp. papillatostellulata</t>
  </si>
  <si>
    <t>Portulaca oleracea ssp. stellata</t>
  </si>
  <si>
    <t>Portulaca retusa</t>
  </si>
  <si>
    <t>Potamogeton amplifolius</t>
  </si>
  <si>
    <t>largeleaf pondweed</t>
  </si>
  <si>
    <t>Potamogeton diversifolius</t>
  </si>
  <si>
    <t>waterthread pondweed</t>
  </si>
  <si>
    <t>Potamogeton capillaceus</t>
  </si>
  <si>
    <t>Potamogeton capillaceus var. atripes</t>
  </si>
  <si>
    <t>Potamogeton diversifolius var. multidenticulatus</t>
  </si>
  <si>
    <t>Potamogeton epihydrus</t>
  </si>
  <si>
    <t>ribbonleaf pondweed</t>
  </si>
  <si>
    <t>Potamogeton epihydrus ssp. nuttallii</t>
  </si>
  <si>
    <t>Potamogeton epihydrus var. nuttallii</t>
  </si>
  <si>
    <t>Potamogeton epihydrus var. ramosus</t>
  </si>
  <si>
    <t>Potamogeton foliosus</t>
  </si>
  <si>
    <t>leafy pondweed</t>
  </si>
  <si>
    <t>Potamogeton foliosus ssp. foliosus</t>
  </si>
  <si>
    <t>Potamogeton curtissii</t>
  </si>
  <si>
    <t>Potamogeton foliosus var. foliosus</t>
  </si>
  <si>
    <t>Potamogeton foliosus var. genuinus</t>
  </si>
  <si>
    <t>Potamogeton foliosus var. macellus</t>
  </si>
  <si>
    <t>Potamogeton friesii</t>
  </si>
  <si>
    <t>Fries' pondweed</t>
  </si>
  <si>
    <t>Potamogeton gramineus</t>
  </si>
  <si>
    <t>variableleaf pondweed</t>
  </si>
  <si>
    <t>Potamogeton gramineus var. graminifolius</t>
  </si>
  <si>
    <t>Potamogeton gramineus var. maximus</t>
  </si>
  <si>
    <t>Potamogeton gramineus var. myriophyllus</t>
  </si>
  <si>
    <t>Potamogeton gramineus var. typicus</t>
  </si>
  <si>
    <t>Potamogeton illinoensis</t>
  </si>
  <si>
    <t>Illinois pondweed</t>
  </si>
  <si>
    <t>Potamogeton angustifolius</t>
  </si>
  <si>
    <t>Potamogeton heterophyllus</t>
  </si>
  <si>
    <t>Potamogeton lucens</t>
  </si>
  <si>
    <t>Potamogeton natans</t>
  </si>
  <si>
    <t>floating pondweed</t>
  </si>
  <si>
    <t>Potamogeton nodosus</t>
  </si>
  <si>
    <t>longleaf pondweed</t>
  </si>
  <si>
    <t>Potamogeton americanus</t>
  </si>
  <si>
    <t>Potamogeton fluitans</t>
  </si>
  <si>
    <t>Potamogeton praelongus</t>
  </si>
  <si>
    <t>whitestem pondweed</t>
  </si>
  <si>
    <t>Potamogeton praelongus var. angustifolius</t>
  </si>
  <si>
    <t>Potamogeton pusillus</t>
  </si>
  <si>
    <t>small pondweed</t>
  </si>
  <si>
    <t>Potamogeton pusillus ssp. pusillus</t>
  </si>
  <si>
    <t>Potamogeton lateralis</t>
  </si>
  <si>
    <t>Potamogeton panormitanus</t>
  </si>
  <si>
    <t>Potamogeton panormitanus var. major</t>
  </si>
  <si>
    <t>Potamogeton panormitanus var. minor</t>
  </si>
  <si>
    <t>Potamogeton pusillus var. minor</t>
  </si>
  <si>
    <t>Potamogeton pusillus var. pusillus</t>
  </si>
  <si>
    <t>Potamogeton pusillus ssp. tenuissimus</t>
  </si>
  <si>
    <t>Potamogeton berchtoldii</t>
  </si>
  <si>
    <t>Potamogeton berchtoldii var. acuminatus</t>
  </si>
  <si>
    <t>Potamogeton berchtoldii var. colpophilus</t>
  </si>
  <si>
    <t>Potamogeton berchtoldii var. lacunatus</t>
  </si>
  <si>
    <t>Potamogeton berchtoldii var. mucronatus</t>
  </si>
  <si>
    <t>Potamogeton berchtoldii var. polyphyllus</t>
  </si>
  <si>
    <t>Potamogeton berchtoldii var. tenuissimus</t>
  </si>
  <si>
    <t>Potamogeton pusillus var. mucronatus</t>
  </si>
  <si>
    <t>Potamogeton pusillus var. tenuissimus</t>
  </si>
  <si>
    <t>Potamogeton richardsonii</t>
  </si>
  <si>
    <t>Richardson's pondweed</t>
  </si>
  <si>
    <t>Potamogeton perfoliatus ssp. richardsonii</t>
  </si>
  <si>
    <t>Potamogeton perfoliatus var. richardsonii</t>
  </si>
  <si>
    <t>Potamogeton ×spathuliformis</t>
  </si>
  <si>
    <t>Potamogeton varians</t>
  </si>
  <si>
    <t>Potamogeton spirillus</t>
  </si>
  <si>
    <t>spiral pondweed</t>
  </si>
  <si>
    <t>Potamogeton dimorphus</t>
  </si>
  <si>
    <t>Potamogeton strictifolius</t>
  </si>
  <si>
    <t>narrowleaf pondweed</t>
  </si>
  <si>
    <t>Potamogeton longiligulatus</t>
  </si>
  <si>
    <t>Potamogeton pusillus var. rutiloides</t>
  </si>
  <si>
    <t>Potamogeton rutilus</t>
  </si>
  <si>
    <t>Potamogeton strictifolius var. rutiloides</t>
  </si>
  <si>
    <t>Potamogeton strictifolius var. typicus</t>
  </si>
  <si>
    <t>Potamogeton vaseyi</t>
  </si>
  <si>
    <t>Vasey's pondweed</t>
  </si>
  <si>
    <t>Potamogeton zosteriformis</t>
  </si>
  <si>
    <t>flatstem pondweed</t>
  </si>
  <si>
    <t>Potamogeton compressus</t>
  </si>
  <si>
    <t>Potamogeton zosterifolius ssp. zosteriformis</t>
  </si>
  <si>
    <t>Potentilla arguta</t>
  </si>
  <si>
    <t>tall cinquefoil</t>
  </si>
  <si>
    <t>Potentilla arguta ssp. arguta</t>
  </si>
  <si>
    <t>Drymocallis agrimonioides</t>
  </si>
  <si>
    <t>Drymocallis arguta</t>
  </si>
  <si>
    <t>Geum agrimonioides</t>
  </si>
  <si>
    <t>Potentilla canadensis</t>
  </si>
  <si>
    <t>dwarf cinquefoil</t>
  </si>
  <si>
    <t>Potentilla canadensis var. canadensis</t>
  </si>
  <si>
    <t>Potentilla caroliniana</t>
  </si>
  <si>
    <t>Potentilla pumila</t>
  </si>
  <si>
    <t>Potentilla norvegica</t>
  </si>
  <si>
    <t>Norwegian cinquefoil</t>
  </si>
  <si>
    <t>Potentilla norvegica ssp. monspeliensis</t>
  </si>
  <si>
    <t>Potentilla monspeliensis</t>
  </si>
  <si>
    <t>Potentilla norvegica ssp. hirsuta</t>
  </si>
  <si>
    <t>Potentilla norvegica var. hirsuta</t>
  </si>
  <si>
    <t>Potentilla norvegica var. labradorica</t>
  </si>
  <si>
    <t>Potentilla paradoxa</t>
  </si>
  <si>
    <t>Paradox cinquefoil</t>
  </si>
  <si>
    <t>Potentilla nicolletii</t>
  </si>
  <si>
    <t>Potentilla supina ssp. paradoxa</t>
  </si>
  <si>
    <t>Potentilla pensylvanica</t>
  </si>
  <si>
    <t>Pennsylvania cinquefoil</t>
  </si>
  <si>
    <t>Potentilla pensylvanica var. pensylvanica</t>
  </si>
  <si>
    <t>Potentilla atrovirens</t>
  </si>
  <si>
    <t>Potentilla bipinnatifida var. glabrata</t>
  </si>
  <si>
    <t>Potentilla glabella</t>
  </si>
  <si>
    <t>Potentilla pensylvanica var. atrovirens</t>
  </si>
  <si>
    <t>Potentilla pensylvanica var. glabrata</t>
  </si>
  <si>
    <t>Potentilla pensylvanica var. ovium</t>
  </si>
  <si>
    <t>Potentilla pensylvanica var. strigosa</t>
  </si>
  <si>
    <t>Potentilla platyloba</t>
  </si>
  <si>
    <t>Potentilla pseudosericea</t>
  </si>
  <si>
    <t>Potentilla strigosa</t>
  </si>
  <si>
    <t>Potentilla rivalis</t>
  </si>
  <si>
    <t>brook cinquefoil</t>
  </si>
  <si>
    <t>Potentilla leucocarpa</t>
  </si>
  <si>
    <t>Potentilla millegrana</t>
  </si>
  <si>
    <t>Potentilla pentandra</t>
  </si>
  <si>
    <t>Potentilla rivalis var. millegrana</t>
  </si>
  <si>
    <t>Potentilla rivalis var. pentandra</t>
  </si>
  <si>
    <t>Potentilla rivalis var. rivalis</t>
  </si>
  <si>
    <t>Potentilla simplex</t>
  </si>
  <si>
    <t>common cinquefoil</t>
  </si>
  <si>
    <t>Potentilla simplex var. argyrisma</t>
  </si>
  <si>
    <t>Potentilla simplex var. calvescens</t>
  </si>
  <si>
    <t>Potentilla simplex var. typica</t>
  </si>
  <si>
    <t>Prenanthes alba</t>
  </si>
  <si>
    <t>white rattlesnakeroot</t>
  </si>
  <si>
    <t>Nabalus albus</t>
  </si>
  <si>
    <t>Prenanthes aspera</t>
  </si>
  <si>
    <t>rough rattlesnakeroot</t>
  </si>
  <si>
    <t>Nabalus asperus</t>
  </si>
  <si>
    <t>Prenanthes racemosa</t>
  </si>
  <si>
    <t>purple rattlesnakeroot</t>
  </si>
  <si>
    <t>Prenanthes racemosa var. multiflora</t>
  </si>
  <si>
    <t>Prenanthes racemosa ssp. multiflora</t>
  </si>
  <si>
    <t>Prenanthes racemosa var. racemosa</t>
  </si>
  <si>
    <t>Nabalus racemosus</t>
  </si>
  <si>
    <t>Prenanthes racemosa ssp. racemosa</t>
  </si>
  <si>
    <t>Prenanthes racemosa var. pinnatifida</t>
  </si>
  <si>
    <t>Primula mistassinica</t>
  </si>
  <si>
    <t>Mistassini primrose</t>
  </si>
  <si>
    <t>Primula intercedens</t>
  </si>
  <si>
    <t>Primula mistassinica var. intercedens</t>
  </si>
  <si>
    <t>Primula mistassinica var. noveboracensis</t>
  </si>
  <si>
    <t>Proboscidea louisianica</t>
  </si>
  <si>
    <t>ram's horn</t>
  </si>
  <si>
    <t>Proboscidea louisiana</t>
  </si>
  <si>
    <t>Proboscidea louisianica ssp. louisianica</t>
  </si>
  <si>
    <t>Martynia louisiana</t>
  </si>
  <si>
    <t>Martynia louisianica</t>
  </si>
  <si>
    <t>Martynia proboscidea</t>
  </si>
  <si>
    <t>Proboscidea jussieui</t>
  </si>
  <si>
    <t>Proserpinaca palustris</t>
  </si>
  <si>
    <t>marsh mermaidweed</t>
  </si>
  <si>
    <t>Proserpinaca palustris var. crebra</t>
  </si>
  <si>
    <t>Prunella vulgaris</t>
  </si>
  <si>
    <t>common selfheal</t>
  </si>
  <si>
    <t>Prunella vulgaris ssp. lanceolata</t>
  </si>
  <si>
    <t>lance selfheal</t>
  </si>
  <si>
    <t>Prunella vulgaris var. elongata</t>
  </si>
  <si>
    <t>Prunella vulgaris var. lanceolata</t>
  </si>
  <si>
    <t>Prunella vulgaris ssp. vulgaris</t>
  </si>
  <si>
    <t>Prunella caroliniana</t>
  </si>
  <si>
    <t>Prunella vulgaris var. atropurpurea</t>
  </si>
  <si>
    <t>Prunella vulgaris var. calvescens</t>
  </si>
  <si>
    <t>Prunella vulgaris var. hispida</t>
  </si>
  <si>
    <t>Prunella vulgaris var. minor</t>
  </si>
  <si>
    <t>Prunella vulgaris var. nana</t>
  </si>
  <si>
    <t>Prunella vulgaris var. parviflora</t>
  </si>
  <si>
    <t>Prunella vulgaris var. rouleauiana</t>
  </si>
  <si>
    <t>Prunella vulgaris var. vulgaris</t>
  </si>
  <si>
    <t>Pseudognaphalium obtusifolium</t>
  </si>
  <si>
    <t>rabbit-tobacco</t>
  </si>
  <si>
    <t>Pseudognaphalium obtusifolium ssp. obtusifolium</t>
  </si>
  <si>
    <t>Gnaphalium obtusifolium</t>
  </si>
  <si>
    <t>Psoralidium lanceolatum</t>
  </si>
  <si>
    <t>lemon scurfpea</t>
  </si>
  <si>
    <t>Psoralea lanceolata</t>
  </si>
  <si>
    <t>Psoralea lanceolata ssp. scabra</t>
  </si>
  <si>
    <t>Psoralea lanceolata var. purshii</t>
  </si>
  <si>
    <t>Psoralea lanceolata var. stenophylla</t>
  </si>
  <si>
    <t>Psoralea lanceolata var. stenostachys</t>
  </si>
  <si>
    <t>Psoralea micrantha</t>
  </si>
  <si>
    <t>Psoralea scabra</t>
  </si>
  <si>
    <t>Psoralea stenostachys</t>
  </si>
  <si>
    <t>Psoralidium lanceolatum var. stenophyllum</t>
  </si>
  <si>
    <t>Psoralidium lanceolatum var. stenostachys</t>
  </si>
  <si>
    <t>Psoralidium stenophyllum</t>
  </si>
  <si>
    <t>Psoralidium tenuiflorum</t>
  </si>
  <si>
    <t>slimflower scurfpea</t>
  </si>
  <si>
    <t>Psoralea floribunda</t>
  </si>
  <si>
    <t>Psoralea obtusifolia</t>
  </si>
  <si>
    <t>Psoralea tenuiflora</t>
  </si>
  <si>
    <t>Psoralea tenuiflora var. bigelovii</t>
  </si>
  <si>
    <t>Psoralea tenuiflora var. floribunda</t>
  </si>
  <si>
    <t>Psoralidium batesii</t>
  </si>
  <si>
    <t>Pteridium aquilinum</t>
  </si>
  <si>
    <t>western brackenfern</t>
  </si>
  <si>
    <t>Pteridium aquilinum var. latiusculum</t>
  </si>
  <si>
    <t>Pteridium latiusculum</t>
  </si>
  <si>
    <t>eastern pasqueflower</t>
  </si>
  <si>
    <t>Pulsatilla patens ssp. multifida</t>
  </si>
  <si>
    <t>cutleaf anemone</t>
  </si>
  <si>
    <t>Anemone ludoviciana</t>
  </si>
  <si>
    <t>Anemone multifida</t>
  </si>
  <si>
    <t>Anemone nuttalliana</t>
  </si>
  <si>
    <t>Anemone patens var. multifida</t>
  </si>
  <si>
    <t>Anemone patens var. nuttalliana</t>
  </si>
  <si>
    <t>Anemone patens var. wolfgangiana</t>
  </si>
  <si>
    <t>Pulsatilla hirsutissima</t>
  </si>
  <si>
    <t>Pulsatilla ludoviciana</t>
  </si>
  <si>
    <t>Pulsatilla nuttalliana</t>
  </si>
  <si>
    <t>Pulsatilla patens ssp. hirsutissima</t>
  </si>
  <si>
    <t>Pycnanthemum tenuifolium</t>
  </si>
  <si>
    <t>narrowleaf mountainmint</t>
  </si>
  <si>
    <t>Koellia flexuosa</t>
  </si>
  <si>
    <t>Pycnanthemum flexuosum</t>
  </si>
  <si>
    <t>Pycnanthemum verticillatum</t>
  </si>
  <si>
    <t>whorled mountainmint</t>
  </si>
  <si>
    <t>Pycnanthemum verticillatum var. pilosum</t>
  </si>
  <si>
    <t>Koellia pilosa</t>
  </si>
  <si>
    <t>Pycnanthemum pilosum</t>
  </si>
  <si>
    <t>Pycnanthemum virginianum</t>
  </si>
  <si>
    <t>Virginia mountainmint</t>
  </si>
  <si>
    <t>Koellia virginiana</t>
  </si>
  <si>
    <t>Pyrrhopappus carolinianus</t>
  </si>
  <si>
    <t>Carolina desert-chicory</t>
  </si>
  <si>
    <t>Pyrrhopappus carolinianus var. georgianus</t>
  </si>
  <si>
    <t>Pyrrhopappus georgianus</t>
  </si>
  <si>
    <t>Sitilias caroliniana</t>
  </si>
  <si>
    <t>Ranunculus abortivus</t>
  </si>
  <si>
    <t>littleleaf buttercup</t>
  </si>
  <si>
    <t>Ranunculus abortivus ssp. acrolasius</t>
  </si>
  <si>
    <t>Ranunculus abortivus var. acrolasius</t>
  </si>
  <si>
    <t>Ranunculus abortivus var. eucyclus</t>
  </si>
  <si>
    <t>Ranunculus abortivus var. indivisus</t>
  </si>
  <si>
    <t>Ranunculus abortivus var. typicus</t>
  </si>
  <si>
    <t>Ranunculus acris</t>
  </si>
  <si>
    <t>tall buttercup</t>
  </si>
  <si>
    <t>Ranunculus acris var. acris</t>
  </si>
  <si>
    <t>showy buttercup</t>
  </si>
  <si>
    <t>Ranunculus acris ssp. strigulosus</t>
  </si>
  <si>
    <t>Ranunculus acris var. latisectus</t>
  </si>
  <si>
    <t>Ranunculus acris var. stevenii</t>
  </si>
  <si>
    <t>Ranunculus acris var. typicus</t>
  </si>
  <si>
    <t>Ranunculus acris var. villosus</t>
  </si>
  <si>
    <t>Ranunculus boreanus</t>
  </si>
  <si>
    <t>Ranunculus cymbalaria</t>
  </si>
  <si>
    <t>alkali buttercup</t>
  </si>
  <si>
    <t>Cyrtorhyncha cymbalaria ssp. alpina</t>
  </si>
  <si>
    <t>Halerpestes cymbalaria</t>
  </si>
  <si>
    <t>Halerpestes cymbalaria ssp. saximontana</t>
  </si>
  <si>
    <t>Ranunculus cymbalaria ssp. saximontanus</t>
  </si>
  <si>
    <t>Ranunculus cymbalaria var. alpinus</t>
  </si>
  <si>
    <t>Ranunculus cymbalaria var. saximontanus</t>
  </si>
  <si>
    <t>Ranunculus cymbalaria var. typicus</t>
  </si>
  <si>
    <t>Ranunculus fascicularis</t>
  </si>
  <si>
    <t>early buttercup</t>
  </si>
  <si>
    <t>Ranunculus fascicularis var. apricus</t>
  </si>
  <si>
    <t>Ranunculus fascicularis var. typicus</t>
  </si>
  <si>
    <t>Ranunculus flabellaris</t>
  </si>
  <si>
    <t>yellow water buttercup</t>
  </si>
  <si>
    <t>Ranunculus delphiniifolius</t>
  </si>
  <si>
    <t>Ranunculus gmelinii</t>
  </si>
  <si>
    <t>Gmelin's buttercup</t>
  </si>
  <si>
    <t>Ranunculus gmelinii ssp. purshii</t>
  </si>
  <si>
    <t>Ranunculus gmelinii var. hookeri</t>
  </si>
  <si>
    <t>Ranunculus gmelinii var. limosus</t>
  </si>
  <si>
    <t>Ranunculus gmelinii var. prolificus</t>
  </si>
  <si>
    <t>Ranunculus gmelinii var. purshii</t>
  </si>
  <si>
    <t>Ranunculus gmelinii var. terrestris</t>
  </si>
  <si>
    <t>Ranunculus gmelinii var. typicus</t>
  </si>
  <si>
    <t>Ranunculus hyperboreus var. tuquetilianus</t>
  </si>
  <si>
    <t>Ranunculus limosus</t>
  </si>
  <si>
    <t>Ranunculus purshii</t>
  </si>
  <si>
    <t>Ranunculus hispidus</t>
  </si>
  <si>
    <t>bristly buttercup</t>
  </si>
  <si>
    <t>Ranunculus hispidus var. caricetorum</t>
  </si>
  <si>
    <t>Ranunculus caricetorum</t>
  </si>
  <si>
    <t>Ranunculus septentrionalis var. caricetorum</t>
  </si>
  <si>
    <t>Ranunculus siciformis</t>
  </si>
  <si>
    <t>Ranunculus hispidus var. nitidus</t>
  </si>
  <si>
    <t>Ranunculus carolinianus</t>
  </si>
  <si>
    <t>Ranunculus carolinianus var. villicaulis</t>
  </si>
  <si>
    <t>Ranunculus nitidus</t>
  </si>
  <si>
    <t>Ranunculus palmatus</t>
  </si>
  <si>
    <t>Ranunculus septentrionalis var. nitidus</t>
  </si>
  <si>
    <t>Ranunculus septentrionalis var. pterocarpus</t>
  </si>
  <si>
    <t>Ranunculus longirostris</t>
  </si>
  <si>
    <t>longbeak buttercup</t>
  </si>
  <si>
    <t>Batrachium circinatum</t>
  </si>
  <si>
    <t>Batrachium circinatum ssp. subrigidum</t>
  </si>
  <si>
    <t>Batrachium longirostre</t>
  </si>
  <si>
    <t>Ranunculus amphibius</t>
  </si>
  <si>
    <t>Ranunculus aquatilis var. diffusus</t>
  </si>
  <si>
    <t>Ranunculus aquatilis var. longirostris</t>
  </si>
  <si>
    <t>Ranunculus aquatilis var. subrigidus</t>
  </si>
  <si>
    <t>Ranunculus circinatus</t>
  </si>
  <si>
    <t>Ranunculus circinatus var. subrigidus</t>
  </si>
  <si>
    <t>Ranunculus subrigidus</t>
  </si>
  <si>
    <t>Ranunculus usneoides</t>
  </si>
  <si>
    <t>Ranunculus macounii</t>
  </si>
  <si>
    <t>Macoun's buttercup</t>
  </si>
  <si>
    <t>Ranunculus macounii var. oreganus</t>
  </si>
  <si>
    <t>Ranunculus pensylvanicus</t>
  </si>
  <si>
    <t>Pennsylvania buttercup</t>
  </si>
  <si>
    <t>Ranunculus recurvatus</t>
  </si>
  <si>
    <t>blisterwort</t>
  </si>
  <si>
    <t>Ranunculus recurvatus var. recurvatus</t>
  </si>
  <si>
    <t>Ranunculus recurvatus var. adpressipilis</t>
  </si>
  <si>
    <t>Ranunculus recurvatus var. typicus</t>
  </si>
  <si>
    <t>Ranunculus rhomboideus</t>
  </si>
  <si>
    <t>Labrador buttercup</t>
  </si>
  <si>
    <t>Ranunculus ovalis</t>
  </si>
  <si>
    <t>Ranunculus sceleratus</t>
  </si>
  <si>
    <t>cursed buttercup</t>
  </si>
  <si>
    <t>Ranunculus sceleratus var. multifidus</t>
  </si>
  <si>
    <t>Ranunculus sceleratus ssp. multifidus</t>
  </si>
  <si>
    <t>Ranunculus sceleratus var. sceleratus</t>
  </si>
  <si>
    <t>Hecatonia scelerata</t>
  </si>
  <si>
    <t>Ranunculus sceleratus var. typicus</t>
  </si>
  <si>
    <t>Ranunculus trichophyllus</t>
  </si>
  <si>
    <t>threadleaf crowfoot</t>
  </si>
  <si>
    <t>Ranunculus trichophyllus var. trichophyllus</t>
  </si>
  <si>
    <t>Batrachium flaccidum</t>
  </si>
  <si>
    <t>Batrachium porteri</t>
  </si>
  <si>
    <t>Batrachium trichophyllum</t>
  </si>
  <si>
    <t>Ranunculus aquatilis var. calvescens</t>
  </si>
  <si>
    <t>Ranunculus aquatilis var. capillaceus</t>
  </si>
  <si>
    <t>Ranunculus aquatilis var. harrisii</t>
  </si>
  <si>
    <t>Ranunculus aquatilis var. lalondei</t>
  </si>
  <si>
    <t>Ranunculus aquatilis var. porteri</t>
  </si>
  <si>
    <t>Ranunculus aquatilis var. trichophyllus</t>
  </si>
  <si>
    <t>Ranunculus flaccidus</t>
  </si>
  <si>
    <t>Ranunculus trichophyllus var. calvescens</t>
  </si>
  <si>
    <t>Ranunculus trichophyllus var. typicus</t>
  </si>
  <si>
    <t>Ratibida columnifera</t>
  </si>
  <si>
    <t>upright prairie coneflower</t>
  </si>
  <si>
    <t>Lepachys columnaris</t>
  </si>
  <si>
    <t>Lepachys columnifera</t>
  </si>
  <si>
    <t>Ratibida columnaris</t>
  </si>
  <si>
    <t>Ratibida columnaris var. pulcherrima</t>
  </si>
  <si>
    <t>Rudbeckia columnaris</t>
  </si>
  <si>
    <t>Rudbeckia columnifera</t>
  </si>
  <si>
    <t>Ratibida pinnata</t>
  </si>
  <si>
    <t>pinnate prairie coneflower</t>
  </si>
  <si>
    <t>Lepachys pinnata</t>
  </si>
  <si>
    <t>Rudbeckia pinnata</t>
  </si>
  <si>
    <t>Rhexia virginica</t>
  </si>
  <si>
    <t>handsome Harry</t>
  </si>
  <si>
    <t>Rhexia stricta</t>
  </si>
  <si>
    <t>Rhexia virginica var. purshii</t>
  </si>
  <si>
    <t>Rhexia virginica var. septemnervia</t>
  </si>
  <si>
    <t>Rorippa palustris</t>
  </si>
  <si>
    <t>bog yellowcress</t>
  </si>
  <si>
    <t>Rorippa palustris ssp. fernaldiana</t>
  </si>
  <si>
    <t>Fernald's yellowcress</t>
  </si>
  <si>
    <t>Rorippa hispida var. glabrata</t>
  </si>
  <si>
    <t>Rorippa islandica ssp. fernaldiana</t>
  </si>
  <si>
    <t>Rorippa islandica var. fernaldiana</t>
  </si>
  <si>
    <t>Rorippa islandica var. glabra</t>
  </si>
  <si>
    <t>Rorippa islandica var. glabrata</t>
  </si>
  <si>
    <t>Rorippa palustris ssp. glabra</t>
  </si>
  <si>
    <t>Rorippa palustris var. cernua</t>
  </si>
  <si>
    <t>Rorippa palustris var. dictyota</t>
  </si>
  <si>
    <t>Rorippa palustris var. glabra</t>
  </si>
  <si>
    <t>Rorippa palustris var. glabrata</t>
  </si>
  <si>
    <t>Rorippa palustris ssp. hispida</t>
  </si>
  <si>
    <t>hispid yellowcress</t>
  </si>
  <si>
    <t>Radicula hispida</t>
  </si>
  <si>
    <t>Rorippa hispida</t>
  </si>
  <si>
    <t>Rorippa islandica var. hispida</t>
  </si>
  <si>
    <t>Rorippa palustris var. elongata</t>
  </si>
  <si>
    <t>Rorippa palustris var. hispida</t>
  </si>
  <si>
    <t>Rorippa sessiliflora</t>
  </si>
  <si>
    <t>stalkless yellowcress</t>
  </si>
  <si>
    <t>Nasturtium sessiliflorum</t>
  </si>
  <si>
    <t>Radicula sessiliflora</t>
  </si>
  <si>
    <t>Rorippa sinuata</t>
  </si>
  <si>
    <t>spreading yellowcress</t>
  </si>
  <si>
    <t>Nasturtium sinuatum</t>
  </si>
  <si>
    <t>Radicula sinuata</t>
  </si>
  <si>
    <t>Rotala ramosior</t>
  </si>
  <si>
    <t>lowland rotala</t>
  </si>
  <si>
    <t>Rotala catholica</t>
  </si>
  <si>
    <t>Rotala dentifera</t>
  </si>
  <si>
    <t>Rotala ramosior var. interior</t>
  </si>
  <si>
    <t>Rotala ramosior var. typica</t>
  </si>
  <si>
    <t>Rubus pubescens</t>
  </si>
  <si>
    <t>dwarf red blackberry</t>
  </si>
  <si>
    <t>Rubus pubescens var. pubescens</t>
  </si>
  <si>
    <t>Cylactis pubescens</t>
  </si>
  <si>
    <t>Rubus triflorus</t>
  </si>
  <si>
    <t>Rudbeckia hirta</t>
  </si>
  <si>
    <t>blackeyed Susan</t>
  </si>
  <si>
    <t>Rudbeckia hirta var. pulcherrima</t>
  </si>
  <si>
    <t>Rudbeckia bicolor</t>
  </si>
  <si>
    <t>Rudbeckia hirta var. corymbifera</t>
  </si>
  <si>
    <t>Rudbeckia hirta var. lanceolata</t>
  </si>
  <si>
    <t>Rudbeckia hirta var. sericea</t>
  </si>
  <si>
    <t>Rudbeckia hirta var. serotina</t>
  </si>
  <si>
    <t>Rudbeckia longipes</t>
  </si>
  <si>
    <t>Rudbeckia sericea</t>
  </si>
  <si>
    <t>Rudbeckia serotina</t>
  </si>
  <si>
    <t>Rudbeckia serotina var. corymbifera</t>
  </si>
  <si>
    <t>Rudbeckia serotina var. lanceolata</t>
  </si>
  <si>
    <t>Rudbeckia serotina var. sericea</t>
  </si>
  <si>
    <t>Rudbeckia laciniata</t>
  </si>
  <si>
    <t>cutleaf coneflower</t>
  </si>
  <si>
    <t>Rudbeckia laciniata var. laciniata</t>
  </si>
  <si>
    <t>Rudbeckia laciniata var. hortensis</t>
  </si>
  <si>
    <t>Rudbeckia subtomentosa</t>
  </si>
  <si>
    <t>sweet coneflower</t>
  </si>
  <si>
    <t>Rudbeckia triloba</t>
  </si>
  <si>
    <t>browneyed Susan</t>
  </si>
  <si>
    <t>Rudbeckia triloba var. triloba</t>
  </si>
  <si>
    <t>Ruellia humilis</t>
  </si>
  <si>
    <t>fringeleaf wild petunia</t>
  </si>
  <si>
    <t>Ruellia ciliosa var. longiflora</t>
  </si>
  <si>
    <t>Ruellia humilis var. calvescens</t>
  </si>
  <si>
    <t>Ruellia humilis var. depauperata</t>
  </si>
  <si>
    <t>Ruellia humilis var. expansa</t>
  </si>
  <si>
    <t>Ruellia humilis var. frondosa</t>
  </si>
  <si>
    <t>Ruellia humilis var. longiflora</t>
  </si>
  <si>
    <t>Ruellia strepens</t>
  </si>
  <si>
    <t>limestone wild petunia</t>
  </si>
  <si>
    <t>Dipteracanthus micranthus</t>
  </si>
  <si>
    <t>Dipteracanthus strepens</t>
  </si>
  <si>
    <t>Ruellia strepens var. cleistantha</t>
  </si>
  <si>
    <t>Ruellia strepens var. micrantha</t>
  </si>
  <si>
    <t>Rumex altissimus</t>
  </si>
  <si>
    <t>pale dock</t>
  </si>
  <si>
    <t>Rumex britannica</t>
  </si>
  <si>
    <t>Rumex brittanicus</t>
  </si>
  <si>
    <t>Rumex ellipticus</t>
  </si>
  <si>
    <t>Rumex aquaticus</t>
  </si>
  <si>
    <t>western dock</t>
  </si>
  <si>
    <t>Rumex aquaticus var. fenestratus</t>
  </si>
  <si>
    <t>Rumex aquaticus ssp. fenestratus</t>
  </si>
  <si>
    <t>Rumex aquaticus ssp. occidentalis</t>
  </si>
  <si>
    <t>Rumex fenestratus</t>
  </si>
  <si>
    <t>Rumex occidentalis</t>
  </si>
  <si>
    <t>Rumex occidentalis var. fenestratus</t>
  </si>
  <si>
    <t>Rumex occidentalis var. labradoricus</t>
  </si>
  <si>
    <t>Rumex occidentalis var. procerus</t>
  </si>
  <si>
    <t>Rumex subalpinus</t>
  </si>
  <si>
    <t>Rumex maritimus</t>
  </si>
  <si>
    <t>golden dock</t>
  </si>
  <si>
    <t>Rumex fueginus</t>
  </si>
  <si>
    <t>Rumex maritimus ssp. fueginus</t>
  </si>
  <si>
    <t>Rumex maritimus var. athrix</t>
  </si>
  <si>
    <t>Rumex maritimus var. fueginus</t>
  </si>
  <si>
    <t>Rumex maritimus var. persicarioides</t>
  </si>
  <si>
    <t>Rumex persicarioides</t>
  </si>
  <si>
    <t>Rumex orbiculatus</t>
  </si>
  <si>
    <t>greater water dock</t>
  </si>
  <si>
    <t>Rumex orbiculatus var. borealis</t>
  </si>
  <si>
    <t>Rumex orbiculatus var. orbiculatus</t>
  </si>
  <si>
    <t>Rumex salicifolius</t>
  </si>
  <si>
    <t>willow dock</t>
  </si>
  <si>
    <t>Rumex salicifolius var. mexicanus</t>
  </si>
  <si>
    <t>Mexican dock</t>
  </si>
  <si>
    <t>Rumex mexicanus</t>
  </si>
  <si>
    <t>Rumex mexicanus var. angustifolius</t>
  </si>
  <si>
    <t>Rumex mexicanus var. subarcticus</t>
  </si>
  <si>
    <t>Rumex quadrangulivalvis</t>
  </si>
  <si>
    <t>Rumex salicifolius ssp. triangulivalvis</t>
  </si>
  <si>
    <t>Rumex salicifolius var. triangulivalvis</t>
  </si>
  <si>
    <t>Rumex subarcticus</t>
  </si>
  <si>
    <t>Rumex triangulivalvis</t>
  </si>
  <si>
    <t>Rumex triangulivalvis var. oreolapathum</t>
  </si>
  <si>
    <t>Rumex venosus</t>
  </si>
  <si>
    <t>veiny dock</t>
  </si>
  <si>
    <t>Rumex verticillatus</t>
  </si>
  <si>
    <t>swamp dock</t>
  </si>
  <si>
    <t>Rumex fascicularis</t>
  </si>
  <si>
    <t>Rumex floridanus</t>
  </si>
  <si>
    <t>Ruppia cirrhosa</t>
  </si>
  <si>
    <t>spiral ditchgrass</t>
  </si>
  <si>
    <t>Ruppia cirrhosa ssp. occidentalis</t>
  </si>
  <si>
    <t>Ruppia maritima var. occidentalis</t>
  </si>
  <si>
    <t>Ruppia maritima var. spiralis</t>
  </si>
  <si>
    <t>Ruppia occidentalis</t>
  </si>
  <si>
    <t>Ruppia spiralis</t>
  </si>
  <si>
    <t>Sabatia campestris</t>
  </si>
  <si>
    <t>Texas star</t>
  </si>
  <si>
    <t>Sagina procumbens</t>
  </si>
  <si>
    <t>birdeye pearlwort</t>
  </si>
  <si>
    <t>Sagina procumbens var. compacta</t>
  </si>
  <si>
    <t>Sagittaria australis</t>
  </si>
  <si>
    <t>longbeak arrowhead</t>
  </si>
  <si>
    <t>Sagittaria engelmanniana ssp. longirostra</t>
  </si>
  <si>
    <t>Sagittaria longirostra</t>
  </si>
  <si>
    <t>Sagittaria longirostra var. australis</t>
  </si>
  <si>
    <t>Sagittaria brevirostra</t>
  </si>
  <si>
    <t>shortbeak arrowhead</t>
  </si>
  <si>
    <t>Sagittaria engelmanniana ssp. brevirostra</t>
  </si>
  <si>
    <t>Sagittaria calycina</t>
  </si>
  <si>
    <t>hooded arrowhead</t>
  </si>
  <si>
    <t>Sagittaria calycina var. calycina</t>
  </si>
  <si>
    <t>Lophotocarpus californicus</t>
  </si>
  <si>
    <t>Lophotocarpus calycinus</t>
  </si>
  <si>
    <t>Lophotocarpus depauperatus</t>
  </si>
  <si>
    <t>Sagittaria montevidensis ssp. calycina</t>
  </si>
  <si>
    <t>Sagittaria cristata</t>
  </si>
  <si>
    <t>crested arrowhead</t>
  </si>
  <si>
    <t>Sagittaria graminea var. cristata</t>
  </si>
  <si>
    <t>Sagittaria cuneata</t>
  </si>
  <si>
    <t>arumleaf arrowhead</t>
  </si>
  <si>
    <t>Sagittaria arifolia</t>
  </si>
  <si>
    <t>Sagittaria graminea</t>
  </si>
  <si>
    <t>grassy arrowhead</t>
  </si>
  <si>
    <t>Sagittaria graminea var. graminea</t>
  </si>
  <si>
    <t>Sagittaria cycloptera</t>
  </si>
  <si>
    <t>Sagittaria eatonii</t>
  </si>
  <si>
    <t>Sagittaria latifolia</t>
  </si>
  <si>
    <t>broadleaf arrowhead</t>
  </si>
  <si>
    <t>Sagittaria chinensis</t>
  </si>
  <si>
    <t>Sagittaria esculenta</t>
  </si>
  <si>
    <t>Sagittaria latifolia var. obtusa</t>
  </si>
  <si>
    <t>Sagittaria latifolia var. pubescens</t>
  </si>
  <si>
    <t>Sagittaria obtusa</t>
  </si>
  <si>
    <t>Sagittaria ornithorhyncha</t>
  </si>
  <si>
    <t>Sagittaria planipes</t>
  </si>
  <si>
    <t>Sagittaria pubescens</t>
  </si>
  <si>
    <t>Sagittaria variabilis var. obtusa</t>
  </si>
  <si>
    <t>Sagittaria viscosa</t>
  </si>
  <si>
    <t>Sagittaria rigida</t>
  </si>
  <si>
    <t>sessilefruit arrowhead</t>
  </si>
  <si>
    <t>Salicornia rubra</t>
  </si>
  <si>
    <t>red swampfire</t>
  </si>
  <si>
    <t>Salicornia europaea ssp. rubra</t>
  </si>
  <si>
    <t>Salicornia europaea var. prona</t>
  </si>
  <si>
    <t>Salvia azurea</t>
  </si>
  <si>
    <t>azure blue sage</t>
  </si>
  <si>
    <t>Salvia azurea var. grandiflora</t>
  </si>
  <si>
    <t>pitcher sage</t>
  </si>
  <si>
    <t>Salvia azurea ssp. intermedia</t>
  </si>
  <si>
    <t>Salvia azurea ssp. pitcheri</t>
  </si>
  <si>
    <t>Salvia pitcheri</t>
  </si>
  <si>
    <t>Salvia reflexa</t>
  </si>
  <si>
    <t>lanceleaf sage</t>
  </si>
  <si>
    <t>Salvia lancifolia</t>
  </si>
  <si>
    <t>Sanguinaria canadensis</t>
  </si>
  <si>
    <t>bloodroot</t>
  </si>
  <si>
    <t>Sanguinaria canadensis var. rotundifolia</t>
  </si>
  <si>
    <t>Sanguisorba annua</t>
  </si>
  <si>
    <t>prairie burnet</t>
  </si>
  <si>
    <t>Poteridium annuum</t>
  </si>
  <si>
    <t>Sanguisorba occidentalis</t>
  </si>
  <si>
    <t>Sanicula canadensis</t>
  </si>
  <si>
    <t>Canadian blacksnakeroot</t>
  </si>
  <si>
    <t>Sanicula canadensis var. canadensis</t>
  </si>
  <si>
    <t>Sanicula canadensis var. floridana</t>
  </si>
  <si>
    <t>Sanicula canadensis var. typica</t>
  </si>
  <si>
    <t>Sanicula floridana</t>
  </si>
  <si>
    <t>Sanicula canadensis var. grandis</t>
  </si>
  <si>
    <t>Sanicula marilandica</t>
  </si>
  <si>
    <t>Maryland sanicle</t>
  </si>
  <si>
    <t>Sanicula marilandica var. petiolulata</t>
  </si>
  <si>
    <t>Sanicula odorata</t>
  </si>
  <si>
    <t>clustered blacksnakeroot</t>
  </si>
  <si>
    <t>Sanicula gregaria</t>
  </si>
  <si>
    <t>Triclinium odoratum</t>
  </si>
  <si>
    <t>Sanicula trifoliata</t>
  </si>
  <si>
    <t>largefruit blacksnakeroot</t>
  </si>
  <si>
    <t>Saxifraga pensylvanica</t>
  </si>
  <si>
    <t>eastern swamp saxifrage</t>
  </si>
  <si>
    <t>Micranthes pensylvanica</t>
  </si>
  <si>
    <t>Saxifraga forbesii</t>
  </si>
  <si>
    <t>Saxifraga pensylvanica ssp. interior</t>
  </si>
  <si>
    <t>Saxifraga pensylvanica ssp. tenuirostrata</t>
  </si>
  <si>
    <t>Saxifraga pensylvanica var. forbesii</t>
  </si>
  <si>
    <t>Saxifraga pensylvanica var. purpuripetala</t>
  </si>
  <si>
    <t>Scheuchzeria palustris</t>
  </si>
  <si>
    <t>rannoch-rush</t>
  </si>
  <si>
    <t>Scheuchzeria palustris ssp. americana</t>
  </si>
  <si>
    <t>Scheuchzeria americana</t>
  </si>
  <si>
    <t>Scheuchzeria palustris var. americana</t>
  </si>
  <si>
    <t>Scrophularia lanceolata</t>
  </si>
  <si>
    <t>lanceleaf figwort</t>
  </si>
  <si>
    <t>Scrophularia leporella</t>
  </si>
  <si>
    <t>Scrophularia occidentalis</t>
  </si>
  <si>
    <t>Scrophularia pectinata</t>
  </si>
  <si>
    <t>Scrophularia marilandica</t>
  </si>
  <si>
    <t>carpenter's square</t>
  </si>
  <si>
    <t>Scutellaria galericulata</t>
  </si>
  <si>
    <t>marsh skullcap</t>
  </si>
  <si>
    <t>Scutellaria epilobiifolia</t>
  </si>
  <si>
    <t>Scutellaria galericulata ssp. pubescens</t>
  </si>
  <si>
    <t>Scutellaria galericulata var. epilobiifolia</t>
  </si>
  <si>
    <t>Scutellaria galericulata var. pubescens</t>
  </si>
  <si>
    <t>Scutellaria incana</t>
  </si>
  <si>
    <t>hoary skullcap</t>
  </si>
  <si>
    <t>Scutellaria incana var. incana</t>
  </si>
  <si>
    <t>Scutellaria lateriflora</t>
  </si>
  <si>
    <t>blue skullcap</t>
  </si>
  <si>
    <t>Scutellaria lateriflora var. lateriflora</t>
  </si>
  <si>
    <t>Scutellaria nervosa</t>
  </si>
  <si>
    <t>veiny skullcap</t>
  </si>
  <si>
    <t>Scutellaria nervosa var. calvifolia</t>
  </si>
  <si>
    <t>Scutellaria ovata</t>
  </si>
  <si>
    <t>heartleaf skullcap</t>
  </si>
  <si>
    <t>Scutellaria ovata ssp. ovata</t>
  </si>
  <si>
    <t>Scutellaria cordifolia</t>
  </si>
  <si>
    <t>Scutellaria ovata ssp. calcarea</t>
  </si>
  <si>
    <t>Scutellaria ovata ssp. mississippiensis</t>
  </si>
  <si>
    <t>Scutellaria ovata ssp. pseudovenosa</t>
  </si>
  <si>
    <t>Scutellaria ovata ssp. versicolor</t>
  </si>
  <si>
    <t>Scutellaria ovata var. calcarea</t>
  </si>
  <si>
    <t>Scutellaria ovata var. versicolor</t>
  </si>
  <si>
    <t>Scutellaria parvula</t>
  </si>
  <si>
    <t>small skullcap</t>
  </si>
  <si>
    <t>Scutellaria parvula var. missouriensis</t>
  </si>
  <si>
    <t>Leonard's skullcap</t>
  </si>
  <si>
    <t>Scutellaria ambigua</t>
  </si>
  <si>
    <t>Scutellaria leonardii</t>
  </si>
  <si>
    <t>Scutellaria nervosa var. ambigua</t>
  </si>
  <si>
    <t>Scutellaria parvula var. leonardii</t>
  </si>
  <si>
    <t>Scutellaria parvula var. parvula</t>
  </si>
  <si>
    <t>Sedum ternatum</t>
  </si>
  <si>
    <t>woodland stonecrop</t>
  </si>
  <si>
    <t>Clausenellia ternata</t>
  </si>
  <si>
    <t>Selaginella eclipes</t>
  </si>
  <si>
    <t>hidden spikemoss</t>
  </si>
  <si>
    <t>Selaginella rupestris</t>
  </si>
  <si>
    <t>northern selaginella</t>
  </si>
  <si>
    <t>Lycopodium rupestre</t>
  </si>
  <si>
    <t>Senecio congestus</t>
  </si>
  <si>
    <t>marsh fleabane</t>
  </si>
  <si>
    <t>Cineraria congesta</t>
  </si>
  <si>
    <t>Senecio congestus ssp. tonsus</t>
  </si>
  <si>
    <t>Senecio congestus var. palustris</t>
  </si>
  <si>
    <t>Senecio congestus var. tonsus</t>
  </si>
  <si>
    <t>Senecio palustris</t>
  </si>
  <si>
    <t>Senecio integerrimus</t>
  </si>
  <si>
    <t>lambstongue ragwort</t>
  </si>
  <si>
    <t>Senecio integerrimus var. integerrimus</t>
  </si>
  <si>
    <t>Maryland senna</t>
  </si>
  <si>
    <t>Cassia marilandica</t>
  </si>
  <si>
    <t>Cassia medsgeri</t>
  </si>
  <si>
    <t>Ditremexa marilandica</t>
  </si>
  <si>
    <t>Ditremexa medsgeri</t>
  </si>
  <si>
    <t>Shinnersoseris rostrata</t>
  </si>
  <si>
    <t>beaked skeletonweed</t>
  </si>
  <si>
    <t>Lygodesmia rostrata</t>
  </si>
  <si>
    <t>Sibara virginica</t>
  </si>
  <si>
    <t>Virginia winged rockcress</t>
  </si>
  <si>
    <t>Arabis virginica</t>
  </si>
  <si>
    <t>Cardamine parviflora ssp. virginica</t>
  </si>
  <si>
    <t>Cardamine virginica</t>
  </si>
  <si>
    <t>Sibbaldiopsis tridentata</t>
  </si>
  <si>
    <t>shrubby fivefingers</t>
  </si>
  <si>
    <t>Potentilla tridentata</t>
  </si>
  <si>
    <t>Sicyos angulatus</t>
  </si>
  <si>
    <t>oneseed bur cucumber</t>
  </si>
  <si>
    <t>Sida spinosa</t>
  </si>
  <si>
    <t>prickly fanpetals</t>
  </si>
  <si>
    <t>Sida alba</t>
  </si>
  <si>
    <t>Sida angustifolia</t>
  </si>
  <si>
    <t>Sida spinosa var. angustifolia</t>
  </si>
  <si>
    <t>Silene antirrhina</t>
  </si>
  <si>
    <t>sleepy silene</t>
  </si>
  <si>
    <t>Silene antirrhina var. confinis</t>
  </si>
  <si>
    <t>Silene antirrhina var. depauperata</t>
  </si>
  <si>
    <t>Silene antirrhina var. divaricata</t>
  </si>
  <si>
    <t>Silene antirrhina var. laevigata</t>
  </si>
  <si>
    <t>Silene antirrhina var. subglaber</t>
  </si>
  <si>
    <t>Silene antirrhina var. vaccarifolia</t>
  </si>
  <si>
    <t>Silene nivea</t>
  </si>
  <si>
    <t>evening campion</t>
  </si>
  <si>
    <t>Silene stellata</t>
  </si>
  <si>
    <t>widowsfrill</t>
  </si>
  <si>
    <t>Silene stellata var. scabrella</t>
  </si>
  <si>
    <t>Silene virginica</t>
  </si>
  <si>
    <t>fire pink</t>
  </si>
  <si>
    <t>Silene virginica var. virginica</t>
  </si>
  <si>
    <t>Silene virginica var. hallensis</t>
  </si>
  <si>
    <t>Silphium integrifolium</t>
  </si>
  <si>
    <t>wholeleaf rosinweed</t>
  </si>
  <si>
    <t>Silphium integrifolium var. deamii</t>
  </si>
  <si>
    <t>Deam's rosinweed</t>
  </si>
  <si>
    <t>Silphium integrifolium var. integrifolium</t>
  </si>
  <si>
    <t>Silphium laevigatum</t>
  </si>
  <si>
    <t>Silphium integrifolium var. neglectum</t>
  </si>
  <si>
    <t>Silphium laciniatum</t>
  </si>
  <si>
    <t>compassplant</t>
  </si>
  <si>
    <t>Silphium laciniatum var. laciniatum</t>
  </si>
  <si>
    <t>Silphium perfoliatum</t>
  </si>
  <si>
    <t>cup plant</t>
  </si>
  <si>
    <t>Silphium perfoliatum var. perfoliatum</t>
  </si>
  <si>
    <t>Silphium terebinthinaceum</t>
  </si>
  <si>
    <t>prairie rosinweed</t>
  </si>
  <si>
    <t>Silphium terebinthinaceum var. terebinthinaceum</t>
  </si>
  <si>
    <t>Silphium rumicifolium</t>
  </si>
  <si>
    <t>Sisyrinchium angustifolium</t>
  </si>
  <si>
    <t>narrowleaf blue-eyed grass</t>
  </si>
  <si>
    <t>Sisyrinchium bermudiana</t>
  </si>
  <si>
    <t>Sisyrinchium graminoides</t>
  </si>
  <si>
    <t>prairie blue-eyed grass</t>
  </si>
  <si>
    <t>Sisyrinchium campestre var. kansanum</t>
  </si>
  <si>
    <t>Sisyrinchium flaviflorum</t>
  </si>
  <si>
    <t>Sisyrinchium kansanum</t>
  </si>
  <si>
    <t>Sisyrinchium montanum</t>
  </si>
  <si>
    <t>strict blue-eyed grass</t>
  </si>
  <si>
    <t>Sisyrinchium montanum var. montanum</t>
  </si>
  <si>
    <t>Sisyrinchium heterocarpum</t>
  </si>
  <si>
    <t>Sisyrinchium strictum</t>
  </si>
  <si>
    <t>Sium suave</t>
  </si>
  <si>
    <t>hemlock waterparsnip</t>
  </si>
  <si>
    <t>Sium cicutifolium</t>
  </si>
  <si>
    <t>Sium floridanum</t>
  </si>
  <si>
    <t>Sium suave var. floridanum</t>
  </si>
  <si>
    <t>Smilax ecirrhata</t>
  </si>
  <si>
    <t>upright carrionflower</t>
  </si>
  <si>
    <t>Nemexia ecirrhata</t>
  </si>
  <si>
    <t>Smilax herbacea</t>
  </si>
  <si>
    <t>smooth carrionflower</t>
  </si>
  <si>
    <t>Nemexia herbacea</t>
  </si>
  <si>
    <t>Smilax illinoensis</t>
  </si>
  <si>
    <t>Illinois greenbrier</t>
  </si>
  <si>
    <t>Smilax lasioneura</t>
  </si>
  <si>
    <t>Blue Ridge carrionflower</t>
  </si>
  <si>
    <t>Nemexia lasioneura</t>
  </si>
  <si>
    <t>Smilax herbacea var. lasioneura</t>
  </si>
  <si>
    <t>Solanum carolinense</t>
  </si>
  <si>
    <t>Carolina horsenettle</t>
  </si>
  <si>
    <t>Solanum carolinense var. carolinense</t>
  </si>
  <si>
    <t>Solanum citrullifolium</t>
  </si>
  <si>
    <t>watermelon nightshade</t>
  </si>
  <si>
    <t>Solanum citrullifolium var. citrullifolium</t>
  </si>
  <si>
    <t>Solanum interius</t>
  </si>
  <si>
    <t>deadly nightshade</t>
  </si>
  <si>
    <t>Solanum jamesii</t>
  </si>
  <si>
    <t>wild potato</t>
  </si>
  <si>
    <t>Solanum ptycanthum</t>
  </si>
  <si>
    <t>West Indian nightshade</t>
  </si>
  <si>
    <t>Solanum americanum</t>
  </si>
  <si>
    <t>Solanum nigrum</t>
  </si>
  <si>
    <t>Solanum ptychanthum</t>
  </si>
  <si>
    <t>Solanum rostratum</t>
  </si>
  <si>
    <t>buffalobur nightshade</t>
  </si>
  <si>
    <t>Androcera rostrata</t>
  </si>
  <si>
    <t>Solanum cornutum</t>
  </si>
  <si>
    <t>Solanum triflorum</t>
  </si>
  <si>
    <t>cutleaf nightshade</t>
  </si>
  <si>
    <t>Solidago altissima</t>
  </si>
  <si>
    <t>Canada goldenrod</t>
  </si>
  <si>
    <t>Solidago altissima var. altissima</t>
  </si>
  <si>
    <t>Solidago altissima var. pluricephala</t>
  </si>
  <si>
    <t>Solidago altissima var. procera</t>
  </si>
  <si>
    <t>Solidago canadensis var. scabra</t>
  </si>
  <si>
    <t>Solidago hirsutissima</t>
  </si>
  <si>
    <t>Solidago lunellii</t>
  </si>
  <si>
    <t>Solidago canadensis var. canadensis</t>
  </si>
  <si>
    <t>Solidago canadensis var. gilvocanescens</t>
  </si>
  <si>
    <t>shorthair goldenrod</t>
  </si>
  <si>
    <t>Solidago altissima var. gilvocanescens</t>
  </si>
  <si>
    <t>Solidago gilvocanescens</t>
  </si>
  <si>
    <t>Solidago pruinosa</t>
  </si>
  <si>
    <t>Solidago canadensis var. hargeri</t>
  </si>
  <si>
    <t>Harger's goldenrod</t>
  </si>
  <si>
    <t>Solidago flexicaulis</t>
  </si>
  <si>
    <t>zigzag goldenrod</t>
  </si>
  <si>
    <t>Solidago latifolia</t>
  </si>
  <si>
    <t>Solidago gigantea</t>
  </si>
  <si>
    <t>giant goldenrod</t>
  </si>
  <si>
    <t>Aster latissimifolius var. serotinus</t>
  </si>
  <si>
    <t>Solidago gigantea ssp. serotina</t>
  </si>
  <si>
    <t>Solidago gigantea var. leiophylla</t>
  </si>
  <si>
    <t>Solidago gigantea var. pitcheri</t>
  </si>
  <si>
    <t>Solidago gigantea var. serotina</t>
  </si>
  <si>
    <t>Solidago gigantea var. shinnersii</t>
  </si>
  <si>
    <t>Solidago ×leiophallax</t>
  </si>
  <si>
    <t>Solidago pitcheri</t>
  </si>
  <si>
    <t>Solidago serotina</t>
  </si>
  <si>
    <t>Solidago serotinoides</t>
  </si>
  <si>
    <t>Solidago hispida</t>
  </si>
  <si>
    <t>hairy goldenrod</t>
  </si>
  <si>
    <t>Solidago hispida var. hispida</t>
  </si>
  <si>
    <t>Solidago bicolor var. concolor</t>
  </si>
  <si>
    <t>Solidago bicolor var. ovalis</t>
  </si>
  <si>
    <t>Solidago missouriensis</t>
  </si>
  <si>
    <t>Missouri goldenrod</t>
  </si>
  <si>
    <t>Solidago missouriensis var. fasciculata</t>
  </si>
  <si>
    <t>Solidago glaberrima</t>
  </si>
  <si>
    <t>Solidago glaberrima var. moritura</t>
  </si>
  <si>
    <t>Solidago missouriensis var. glaberrima</t>
  </si>
  <si>
    <t>Solidago mollis</t>
  </si>
  <si>
    <t>velvety goldenrod</t>
  </si>
  <si>
    <t>Solidago mollis var. mollis</t>
  </si>
  <si>
    <t>Solidago nemoralis</t>
  </si>
  <si>
    <t>gray goldenrod</t>
  </si>
  <si>
    <t>Solidago nemoralis var. longipetiolata</t>
  </si>
  <si>
    <t>Solidago decemflora</t>
  </si>
  <si>
    <t>Solidago longipetiolata</t>
  </si>
  <si>
    <t>Solidago nemoralis ssp. decemflora</t>
  </si>
  <si>
    <t>Solidago nemoralis ssp. longipetiolata</t>
  </si>
  <si>
    <t>Solidago nemoralis var. decemflora</t>
  </si>
  <si>
    <t>Solidago pulcherrima</t>
  </si>
  <si>
    <t>Solidago nemoralis var. nemoralis</t>
  </si>
  <si>
    <t>Solidago nemoralis ssp. haleana</t>
  </si>
  <si>
    <t>Solidago nemoralis var. haleana</t>
  </si>
  <si>
    <t>Solidago patula</t>
  </si>
  <si>
    <t>roundleaf goldenrod</t>
  </si>
  <si>
    <t>Solidago patula var. patula</t>
  </si>
  <si>
    <t>Solidago sciaphila</t>
  </si>
  <si>
    <t>shadowy goldenrod</t>
  </si>
  <si>
    <t>Solidago speciosa</t>
  </si>
  <si>
    <t>showy goldenrod</t>
  </si>
  <si>
    <t>Solidago speciosa var. jejunifolia</t>
  </si>
  <si>
    <t>Solidago jejunifolia</t>
  </si>
  <si>
    <t>Solidago uliginosa var. jejunifolia</t>
  </si>
  <si>
    <t>Solidago speciosa var. rigidiuscula</t>
  </si>
  <si>
    <t>Solidago rigidiuscula</t>
  </si>
  <si>
    <t>Solidago speciosa var. angustata</t>
  </si>
  <si>
    <t>Solidago uliginosa</t>
  </si>
  <si>
    <t>bog goldenrod</t>
  </si>
  <si>
    <t>Solidago uliginosa var. uliginosa</t>
  </si>
  <si>
    <t>Solidago neglecta</t>
  </si>
  <si>
    <t>Solidago uliginosa var. neglecta</t>
  </si>
  <si>
    <t>Solidago uniligulata</t>
  </si>
  <si>
    <t>Solidago ulmifolia</t>
  </si>
  <si>
    <t>elmleaf goldenrod</t>
  </si>
  <si>
    <t>Solidago ulmifolia var. ulmifolia</t>
  </si>
  <si>
    <t>Sparganium americanum</t>
  </si>
  <si>
    <t>American bur-reed</t>
  </si>
  <si>
    <t>Sparganium androcladum</t>
  </si>
  <si>
    <t>branched bur-reed</t>
  </si>
  <si>
    <t>Sparganium lucidum</t>
  </si>
  <si>
    <t>Sparganium emersum</t>
  </si>
  <si>
    <t>European bur-reed</t>
  </si>
  <si>
    <t>Sparganium acaule</t>
  </si>
  <si>
    <t>Sparganium chlorocarpum</t>
  </si>
  <si>
    <t>Sparganium chlorocarpum var. acaule</t>
  </si>
  <si>
    <t>Sparganium emersum ssp. emersum</t>
  </si>
  <si>
    <t>Sparganium simplex</t>
  </si>
  <si>
    <t>Sparganium eurycarpum</t>
  </si>
  <si>
    <t>broadfruit bur-reed</t>
  </si>
  <si>
    <t>Sparganium californicum</t>
  </si>
  <si>
    <t>Sparganium eurycarpum ssp. eurycarpum</t>
  </si>
  <si>
    <t>Spergularia salina</t>
  </si>
  <si>
    <t>salt sandspurry</t>
  </si>
  <si>
    <t>Spergularia alata</t>
  </si>
  <si>
    <t>Spergularia leiosperma</t>
  </si>
  <si>
    <t>Spergularia marina</t>
  </si>
  <si>
    <t>Spergularia marina var. leiosperma</t>
  </si>
  <si>
    <t>Spergularia marina var. simonii</t>
  </si>
  <si>
    <t>Spergularia marina var. tenuis</t>
  </si>
  <si>
    <t>Spergularia salina var. tenuis</t>
  </si>
  <si>
    <t>Spergularia sparsiflora</t>
  </si>
  <si>
    <t>Spergularia tenuis var. involucrata</t>
  </si>
  <si>
    <t>Tissa marina</t>
  </si>
  <si>
    <t>Tissa tenuis</t>
  </si>
  <si>
    <t>Spermolepis inermis</t>
  </si>
  <si>
    <t>Red River scaleseed</t>
  </si>
  <si>
    <t>Apiastrum patens</t>
  </si>
  <si>
    <t>Spermolepis patens</t>
  </si>
  <si>
    <t>Sphaeralcea coccinea</t>
  </si>
  <si>
    <t>scarlet globemallow</t>
  </si>
  <si>
    <t>Sphaeralcea coccinea ssp. coccinea</t>
  </si>
  <si>
    <t>Malvastrum coccineum</t>
  </si>
  <si>
    <t>Sphaeralcea coccinea ssp. dissecta</t>
  </si>
  <si>
    <t>Sphaeralcea coccinea var. dissecta</t>
  </si>
  <si>
    <t>Spiranthes cernua</t>
  </si>
  <si>
    <t>nodding lady's tresses</t>
  </si>
  <si>
    <t>Ibidium cernuum</t>
  </si>
  <si>
    <t>Spiranthes cernua var. incurva</t>
  </si>
  <si>
    <t>Spiranthes lacera</t>
  </si>
  <si>
    <t>northern slender lady's tresses</t>
  </si>
  <si>
    <t>Spiranthes lacera var. gracilis</t>
  </si>
  <si>
    <t>Ibidium beckii</t>
  </si>
  <si>
    <t>Ibidium gracile</t>
  </si>
  <si>
    <t>Spiranthes beckii</t>
  </si>
  <si>
    <t>Spiranthes gracilis</t>
  </si>
  <si>
    <t>Spiranthes lacera var. lacera</t>
  </si>
  <si>
    <t>Spiranthes lucida</t>
  </si>
  <si>
    <t>shining lady's tresses</t>
  </si>
  <si>
    <t>Ibidium plantagineum</t>
  </si>
  <si>
    <t>Spiranthes magnicamporum</t>
  </si>
  <si>
    <t>Great Plains lady's tresses</t>
  </si>
  <si>
    <t>Spiranthes ovalis</t>
  </si>
  <si>
    <t>October lady's tresses</t>
  </si>
  <si>
    <t>Spiranthes ovalis var. erostellata</t>
  </si>
  <si>
    <t>Spiranthes romanzoffiana</t>
  </si>
  <si>
    <t>hooded lady's tresses</t>
  </si>
  <si>
    <t>Ibidium strictum</t>
  </si>
  <si>
    <t>Spiranthes stricta</t>
  </si>
  <si>
    <t>Spiranthes vernalis</t>
  </si>
  <si>
    <t>spring lady's tresses</t>
  </si>
  <si>
    <t>Ibidium vernale</t>
  </si>
  <si>
    <t>Spiranthes sinensis</t>
  </si>
  <si>
    <t>Spirodela polyrrhiza</t>
  </si>
  <si>
    <t>common duckmeat</t>
  </si>
  <si>
    <t>Lemna polyrrhiza</t>
  </si>
  <si>
    <t>Spirodela polyrhiza</t>
  </si>
  <si>
    <t>Spirodela polyrrhiza var. masonii</t>
  </si>
  <si>
    <t>Stachys aspera</t>
  </si>
  <si>
    <t>hyssopleaf hedgenettle</t>
  </si>
  <si>
    <t>Stachys ambigua</t>
  </si>
  <si>
    <t>Stachys grayana</t>
  </si>
  <si>
    <t>Stachys hyssopifolia var. ambigua</t>
  </si>
  <si>
    <t>Stachys tenuifolia var. aspera</t>
  </si>
  <si>
    <t>Stachys pilosa</t>
  </si>
  <si>
    <t>hairy hedgenettle</t>
  </si>
  <si>
    <t>Stachys pilosa var. arenicola</t>
  </si>
  <si>
    <t>Stachys arenicola</t>
  </si>
  <si>
    <t>Stachys palustris ssp. arenicola</t>
  </si>
  <si>
    <t>Stachys pilosa var. pilosa</t>
  </si>
  <si>
    <t>Stachys asperrima</t>
  </si>
  <si>
    <t>Stachys borealis</t>
  </si>
  <si>
    <t>Stachys homotricha</t>
  </si>
  <si>
    <t>Stachys palustris ssp. pilosa</t>
  </si>
  <si>
    <t>Stachys palustris var. homotricha</t>
  </si>
  <si>
    <t>Stachys palustris var. nipigonensis</t>
  </si>
  <si>
    <t>Stachys palustris var. phaneropoda</t>
  </si>
  <si>
    <t>Stachys palustris var. pilosa</t>
  </si>
  <si>
    <t>Stachys palustris var. puberula</t>
  </si>
  <si>
    <t>Stachys scopulorum</t>
  </si>
  <si>
    <t>Stachys teucriifolia</t>
  </si>
  <si>
    <t>Stachys teucriiformis</t>
  </si>
  <si>
    <t>Stachys tenuifolia</t>
  </si>
  <si>
    <t>smooth hedgenettle</t>
  </si>
  <si>
    <t>Stachys glabra</t>
  </si>
  <si>
    <t>Stachys hispida</t>
  </si>
  <si>
    <t>Stachys palustris var. hispida</t>
  </si>
  <si>
    <t>Stachys palustris var. macrocalyx</t>
  </si>
  <si>
    <t>Stachys tenuifolia var. hispida</t>
  </si>
  <si>
    <t>Stachys tenuifolia var. perlonga</t>
  </si>
  <si>
    <t>Stachys tenuifolia var. platyphylla</t>
  </si>
  <si>
    <t>Stellaria longifolia</t>
  </si>
  <si>
    <t>longleaf starwort</t>
  </si>
  <si>
    <t>Stellaria longifolia var. longifolia</t>
  </si>
  <si>
    <t>Alsine longifolia</t>
  </si>
  <si>
    <t>Stenaria nigricans</t>
  </si>
  <si>
    <t>diamond-flowers</t>
  </si>
  <si>
    <t>Stenaria nigricans var. nigricans</t>
  </si>
  <si>
    <t>diamondflowers</t>
  </si>
  <si>
    <t>Chamisme angustifolia</t>
  </si>
  <si>
    <t>Gentiana nigricans</t>
  </si>
  <si>
    <t>Hedyotis nigricans</t>
  </si>
  <si>
    <t>Hedyotis nigricans var. austrotexana</t>
  </si>
  <si>
    <t>Hedyotis nigricans var. filifolia</t>
  </si>
  <si>
    <t>Hedyotis nigricans var. nigricans</t>
  </si>
  <si>
    <t>Hedyotis nigricans var. papillacea</t>
  </si>
  <si>
    <t>Hedyotis nigricans var. pulvinata</t>
  </si>
  <si>
    <t>Hedyotis nigricans var. rigidiuscula</t>
  </si>
  <si>
    <t>Hedyotis nigricans var. scabra</t>
  </si>
  <si>
    <t>Hedyotis salina</t>
  </si>
  <si>
    <t>Houstonia angustifolia</t>
  </si>
  <si>
    <t>Houstonia angustifolia var. filifolia</t>
  </si>
  <si>
    <t>Houstonia angustifolia var. rigidiuscula</t>
  </si>
  <si>
    <t>Houstonia filifolia</t>
  </si>
  <si>
    <t>Houstonia nigricans</t>
  </si>
  <si>
    <t>Houstonia nigricans var. pulvinata</t>
  </si>
  <si>
    <t>Houstonia pulvinata</t>
  </si>
  <si>
    <t>Houstonia rigidiuscula</t>
  </si>
  <si>
    <t>Houstonia salina</t>
  </si>
  <si>
    <t>Houstonia tenuis</t>
  </si>
  <si>
    <t>Oldenlandia angustifolia</t>
  </si>
  <si>
    <t>Oldenlandia angustifolia var. filifolia</t>
  </si>
  <si>
    <t>Streptopus lanceolatus</t>
  </si>
  <si>
    <t>twistedstalk</t>
  </si>
  <si>
    <t>Streptopus lanceolatus var. longipes</t>
  </si>
  <si>
    <t>Streptopus roseus ssp. longipes</t>
  </si>
  <si>
    <t>Streptopus roseus var. longipes</t>
  </si>
  <si>
    <t>Strophostyles helvola</t>
  </si>
  <si>
    <t>amberique-bean</t>
  </si>
  <si>
    <t>Strophostyles helvula</t>
  </si>
  <si>
    <t>Strophostyles helvula var. missouriensis</t>
  </si>
  <si>
    <t>Strophostyles leiosperma</t>
  </si>
  <si>
    <t>slickseed fuzzybean</t>
  </si>
  <si>
    <t>Phaseolus leiospermus</t>
  </si>
  <si>
    <t>Strophostyles pauciflora</t>
  </si>
  <si>
    <t>Stuckenia filiformis</t>
  </si>
  <si>
    <t>fineleaf pondweed</t>
  </si>
  <si>
    <t>Stuckenia filiformis ssp. occidentalis</t>
  </si>
  <si>
    <t>western fineleaf pondweed</t>
  </si>
  <si>
    <t>Coleogeton filiformis ssp. occidentalis</t>
  </si>
  <si>
    <t>Potamogeton filiformis var. occidentalis</t>
  </si>
  <si>
    <t>Potamogeton interior</t>
  </si>
  <si>
    <t>Stuckenia filiformis var. occidentalis</t>
  </si>
  <si>
    <t>Stuckenia pectinata</t>
  </si>
  <si>
    <t>sago pondweed</t>
  </si>
  <si>
    <t>Coleogeton pectinatus</t>
  </si>
  <si>
    <t>Potamogeton pectinatus</t>
  </si>
  <si>
    <t>Stuckenia pectinatus</t>
  </si>
  <si>
    <t>Stylisma pickeringii</t>
  </si>
  <si>
    <t>Pickering's dawnflower</t>
  </si>
  <si>
    <t>Stylisma pickeringii var. pattersonii</t>
  </si>
  <si>
    <t>Patterson's dawnflower</t>
  </si>
  <si>
    <t>Breweria pickeringii var. pattersonii</t>
  </si>
  <si>
    <t>Stylisma pattersonii</t>
  </si>
  <si>
    <t>Sullivantia sullivantii</t>
  </si>
  <si>
    <t>Sullivant's coolwort</t>
  </si>
  <si>
    <t>Saxifraga sullivantii</t>
  </si>
  <si>
    <t>Sullivantia ohionis</t>
  </si>
  <si>
    <t>Sullivantia renifolia</t>
  </si>
  <si>
    <t>Symphyotrichum ×amethystinum</t>
  </si>
  <si>
    <t>Aster amethystinus</t>
  </si>
  <si>
    <t>Aster ×amethystinus</t>
  </si>
  <si>
    <t>Lasallea ×amethystina</t>
  </si>
  <si>
    <t>Virgulus ×amethystinus</t>
  </si>
  <si>
    <t>Symphyotrichum boreale</t>
  </si>
  <si>
    <t>northern bog aster</t>
  </si>
  <si>
    <t>Aster borealis</t>
  </si>
  <si>
    <t>Aster franklinianus</t>
  </si>
  <si>
    <t>Aster junceus</t>
  </si>
  <si>
    <t>Aster junciformis</t>
  </si>
  <si>
    <t>Aster laxifolius var. borealis</t>
  </si>
  <si>
    <t>Symphyotrichum ciliatum</t>
  </si>
  <si>
    <t>rayless alkali aster</t>
  </si>
  <si>
    <t>Aster brachyactis</t>
  </si>
  <si>
    <t>Brachyactis angusta</t>
  </si>
  <si>
    <t>Brachyactis ciliata</t>
  </si>
  <si>
    <t>Brachyactis ciliata ssp. angusta</t>
  </si>
  <si>
    <t>Tripolium angustum</t>
  </si>
  <si>
    <t>Symphyotrichum cordifolium</t>
  </si>
  <si>
    <t>common blue wood aster</t>
  </si>
  <si>
    <t>Aster cordifolius</t>
  </si>
  <si>
    <t>Aster cordifolius ssp. sagittifolius</t>
  </si>
  <si>
    <t>Aster cordifolius var. furbishiae</t>
  </si>
  <si>
    <t>Aster cordifolius var. incisus</t>
  </si>
  <si>
    <t>Aster cordifolius var. lanceolatus</t>
  </si>
  <si>
    <t>Aster cordifolius var. moratus</t>
  </si>
  <si>
    <t>Aster cordifolius var. polycephalus</t>
  </si>
  <si>
    <t>Aster cordifolius var. racemiflorus</t>
  </si>
  <si>
    <t>Aster cordifolius var. sagittifolius</t>
  </si>
  <si>
    <t>Aster finkii var. moratus</t>
  </si>
  <si>
    <t>Aster lowrieanus var. incisus</t>
  </si>
  <si>
    <t>Aster lowrieanus var. lanceolatus</t>
  </si>
  <si>
    <t>Aster plumarius</t>
  </si>
  <si>
    <t>Aster sagittifolius</t>
  </si>
  <si>
    <t>Symphyotrichum cordifolium var. furbishiae</t>
  </si>
  <si>
    <t>Symphyotrichum cordifolium var. lanceolatum</t>
  </si>
  <si>
    <t>Symphyotrichum cordifolium var. moratum</t>
  </si>
  <si>
    <t>Symphyotrichum cordifolium var. polycephalum</t>
  </si>
  <si>
    <t>Symphyotrichum cordifolium var. racemiflorum</t>
  </si>
  <si>
    <t>Symphyotrichum sagittifolium</t>
  </si>
  <si>
    <t>Drummond's aster</t>
  </si>
  <si>
    <t>Symphyotrichum drummondii var. drummondii</t>
  </si>
  <si>
    <t>Aster drummondii</t>
  </si>
  <si>
    <t>Aster sagittifolius var. drummondii</t>
  </si>
  <si>
    <t>Symphyotrichum dumosum</t>
  </si>
  <si>
    <t>rice button aster</t>
  </si>
  <si>
    <t>Symphyotrichum dumosum var. strictior</t>
  </si>
  <si>
    <t>Aster dumosus var. dodgei</t>
  </si>
  <si>
    <t>Aster dumosus var. strictior</t>
  </si>
  <si>
    <t>Symphyotrichum dumosum var. dodgei</t>
  </si>
  <si>
    <t>white heath aster</t>
  </si>
  <si>
    <t>Symphyotrichum ericoides var. ericoides</t>
  </si>
  <si>
    <t>Aster ericoides</t>
  </si>
  <si>
    <t>Aster ericoides var. prostratus</t>
  </si>
  <si>
    <t>Aster exiguus</t>
  </si>
  <si>
    <t>Aster multiflorus</t>
  </si>
  <si>
    <t>Aster multiflorus var. exiguus</t>
  </si>
  <si>
    <t>Aster multiflorus var. prostratus</t>
  </si>
  <si>
    <t>Aster polycephalus</t>
  </si>
  <si>
    <t>Lasallea ericoides</t>
  </si>
  <si>
    <t>Symphyotrichum ericoides var. prostratum</t>
  </si>
  <si>
    <t>Virgulus ericoides</t>
  </si>
  <si>
    <t>Symphyotrichum falcatum</t>
  </si>
  <si>
    <t>white prairie aster</t>
  </si>
  <si>
    <t>Symphyotrichum falcatum var. commutatum</t>
  </si>
  <si>
    <t>Aster adsurgens</t>
  </si>
  <si>
    <t>Aster commutatus</t>
  </si>
  <si>
    <t>Aster commutatus var. crassulus</t>
  </si>
  <si>
    <t>Aster commutatus var. polycephalus</t>
  </si>
  <si>
    <t>Aster cordineri</t>
  </si>
  <si>
    <t>Aster crassulus</t>
  </si>
  <si>
    <t>Aster ericoides var. commutatus</t>
  </si>
  <si>
    <t>Aster falcatus ssp. commutatus</t>
  </si>
  <si>
    <t>Aster falcatus var. commutatus</t>
  </si>
  <si>
    <t>Aster falcatus var. crassulus</t>
  </si>
  <si>
    <t>Aster multiflorus var. commutatus</t>
  </si>
  <si>
    <t>Aster nahanniensis</t>
  </si>
  <si>
    <t>Symphyotrichum falcatum var. crassulum</t>
  </si>
  <si>
    <t>Symphyotrichum ×finkii</t>
  </si>
  <si>
    <t>Aster finkii</t>
  </si>
  <si>
    <t>smooth blue aster</t>
  </si>
  <si>
    <t>Symphyotrichum laeve var. laeve</t>
  </si>
  <si>
    <t>Aster falcidens</t>
  </si>
  <si>
    <t>Aster laevis</t>
  </si>
  <si>
    <t>Aster laevis var. falcatus</t>
  </si>
  <si>
    <t>Aster steeleorum</t>
  </si>
  <si>
    <t>white panicle aster</t>
  </si>
  <si>
    <t>Symphyotrichum lanceolatum ssp. hesperium</t>
  </si>
  <si>
    <t>Symphyotrichum lanceolatum ssp. hesperium var. hesperium</t>
  </si>
  <si>
    <t>Aster hesperius</t>
  </si>
  <si>
    <t>Aster hesperius var. laetevirens</t>
  </si>
  <si>
    <t>Aster hesperius var. wootonii</t>
  </si>
  <si>
    <t>Aster laetevirens</t>
  </si>
  <si>
    <t>Aster lanceolatus ssp. hesperius</t>
  </si>
  <si>
    <t>Aster osterhoutii</t>
  </si>
  <si>
    <t>Aster wootonii</t>
  </si>
  <si>
    <t>Symphyotrichum hesperium</t>
  </si>
  <si>
    <t>Symphyotrichum lanceolatum ssp. lanceolatum</t>
  </si>
  <si>
    <t>Symphyotrichum lanceolatum ssp. lanceolatum var. hirsuticaule</t>
  </si>
  <si>
    <t>Aster lanceolatus var. hirsuticaulis</t>
  </si>
  <si>
    <t>Symphyotrichum lanceolatum ssp. lanceolatum var. interior</t>
  </si>
  <si>
    <t>Aster interior</t>
  </si>
  <si>
    <t>Aster lanceolatus ssp. interior</t>
  </si>
  <si>
    <t>Aster lanceolatus var. interior</t>
  </si>
  <si>
    <t>Aster simplex var. interior</t>
  </si>
  <si>
    <t>Symphyotrichum lanceolatum ssp. lanceolatum var. lanceolatum</t>
  </si>
  <si>
    <t>Aster bellidiflorus</t>
  </si>
  <si>
    <t>Aster lamarckianus</t>
  </si>
  <si>
    <t>Aster lanceolatus</t>
  </si>
  <si>
    <t>Aster lanceolatus ssp. simplex</t>
  </si>
  <si>
    <t>Aster lanceolatus var. simplex</t>
  </si>
  <si>
    <t>Aster laxus</t>
  </si>
  <si>
    <t>Aster paniculatus</t>
  </si>
  <si>
    <t>Aster paniculatus var. simplex</t>
  </si>
  <si>
    <t>Aster simplex</t>
  </si>
  <si>
    <t>Aster simplex var. estuarinus</t>
  </si>
  <si>
    <t>Aster simplex var. ramosissimus</t>
  </si>
  <si>
    <t>Aster tenuifolius var. ramosissimus</t>
  </si>
  <si>
    <t>Symphyotrichum simplex</t>
  </si>
  <si>
    <t>Symphyotrichum lanceolatum ssp. lanceolatum var. latifolium</t>
  </si>
  <si>
    <t>Aster lanceolatus var. latifolius</t>
  </si>
  <si>
    <t>calico aster</t>
  </si>
  <si>
    <t>Symphyotrichum lateriflorum var. lateriflorum</t>
  </si>
  <si>
    <t>Aster hirsuticaulis</t>
  </si>
  <si>
    <t>Aster lateriflorus</t>
  </si>
  <si>
    <t>Aster lateriflorus var. hirsuticaulis</t>
  </si>
  <si>
    <t>Aster vimineus</t>
  </si>
  <si>
    <t>Solidago lateriflora</t>
  </si>
  <si>
    <t>Symphyotrichum lateriflorum var. hirsuticaule</t>
  </si>
  <si>
    <t>New England aster</t>
  </si>
  <si>
    <t>Aster novae-angliae</t>
  </si>
  <si>
    <t>Lasallea novae-angliae</t>
  </si>
  <si>
    <t>Virgulus novae-angliae</t>
  </si>
  <si>
    <t>aromatic aster</t>
  </si>
  <si>
    <t>Aster kumleinii</t>
  </si>
  <si>
    <t>Aster oblongifolius</t>
  </si>
  <si>
    <t>Aster oblongifolius var. angustatus</t>
  </si>
  <si>
    <t>Aster oblongifolius var. orientis</t>
  </si>
  <si>
    <t>Aster oblongifolius var. rigidulus</t>
  </si>
  <si>
    <t>Lasallea oblongifolia</t>
  </si>
  <si>
    <t>Virgulus oblongifolius</t>
  </si>
  <si>
    <t>Symphyotrichum ontarionis</t>
  </si>
  <si>
    <t>bottomland aster</t>
  </si>
  <si>
    <t>Aster diffusus var. thyrsoides</t>
  </si>
  <si>
    <t>Aster lateriflorus var. thyrsoides</t>
  </si>
  <si>
    <t>Aster missouriensis</t>
  </si>
  <si>
    <t>Aster missouriensis var. thyrsoides</t>
  </si>
  <si>
    <t>Aster ontarionis</t>
  </si>
  <si>
    <t>Aster ontarionis var. glabratus</t>
  </si>
  <si>
    <t>Aster pantotrichus</t>
  </si>
  <si>
    <t>Aster pantotrichus var. thyrsoides</t>
  </si>
  <si>
    <t>Aster tradescantii var. thyrsoides</t>
  </si>
  <si>
    <t>Symphyotrichum ontarione</t>
  </si>
  <si>
    <t>Symphyotrichum ontarione var. glabratum</t>
  </si>
  <si>
    <t>Symphyotrichum ontarionis var. glabratum</t>
  </si>
  <si>
    <t>skyblue aster</t>
  </si>
  <si>
    <t>Symphyotrichum oolentangiense var. oolentangiense</t>
  </si>
  <si>
    <t>Aster azureus</t>
  </si>
  <si>
    <t>Aster oolentangiensis</t>
  </si>
  <si>
    <t>Aster oolentangiensis var. laevicaulis</t>
  </si>
  <si>
    <t>Symphyotrichum parviceps</t>
  </si>
  <si>
    <t>smallhead aster</t>
  </si>
  <si>
    <t>Aster depauperatus var. parviceps</t>
  </si>
  <si>
    <t>Aster ericoides var. parviceps</t>
  </si>
  <si>
    <t>Aster parviceps</t>
  </si>
  <si>
    <t>Aster pilosus ssp. parviceps</t>
  </si>
  <si>
    <t>hairy white oldfield aster</t>
  </si>
  <si>
    <t>Symphyotrichum pilosum var. pilosum</t>
  </si>
  <si>
    <t>Aster ericoides var. platyphyllus</t>
  </si>
  <si>
    <t>Aster ericoides var. villosus</t>
  </si>
  <si>
    <t>Aster juniperinus</t>
  </si>
  <si>
    <t>Aster pilosus</t>
  </si>
  <si>
    <t>Aster pilosus var. platyphyllus</t>
  </si>
  <si>
    <t>Aster ramosissimus</t>
  </si>
  <si>
    <t>Aster villosus</t>
  </si>
  <si>
    <t>willowleaf aster</t>
  </si>
  <si>
    <t>Symphyotrichum praealtum var. nebraskense</t>
  </si>
  <si>
    <t>Nebraska aster</t>
  </si>
  <si>
    <t>Aster nebraskensis</t>
  </si>
  <si>
    <t>Aster praealtus var. nebraskensis</t>
  </si>
  <si>
    <t>Symphyotrichum praealtum var. praealtum</t>
  </si>
  <si>
    <t>Aster caerulescens</t>
  </si>
  <si>
    <t>Aster coerulescens</t>
  </si>
  <si>
    <t>Aster novi-belgii var. litoreus</t>
  </si>
  <si>
    <t>Aster praealtus</t>
  </si>
  <si>
    <t>Aster praealtus var. caerulescens</t>
  </si>
  <si>
    <t>Aster praealtus var. imbricatior</t>
  </si>
  <si>
    <t>Aster praealtus var. texicola</t>
  </si>
  <si>
    <t>Aster salicifolius</t>
  </si>
  <si>
    <t>Symphyotrichum novi-belgii var. litoreum</t>
  </si>
  <si>
    <t>Symphyotrichum praealtum var. texicola</t>
  </si>
  <si>
    <t>Symphyotrichum praealtum var. subasperum</t>
  </si>
  <si>
    <t>Aster praealtus var. subasper</t>
  </si>
  <si>
    <t>Aster subasper</t>
  </si>
  <si>
    <t>crookedstem aster</t>
  </si>
  <si>
    <t>Aster prenanthoides</t>
  </si>
  <si>
    <t>purplestem aster</t>
  </si>
  <si>
    <t>Symphyotrichum puniceum var. puniceum</t>
  </si>
  <si>
    <t>Aster calderi</t>
  </si>
  <si>
    <t>Aster conduplicatus</t>
  </si>
  <si>
    <t>Aster firmus</t>
  </si>
  <si>
    <t>Aster forwoodii</t>
  </si>
  <si>
    <t>Aster lucidulus</t>
  </si>
  <si>
    <t>Aster puniceus</t>
  </si>
  <si>
    <t>Aster puniceus ssp. firmus</t>
  </si>
  <si>
    <t>Aster puniceus var. calderi</t>
  </si>
  <si>
    <t>Aster puniceus var. calvus</t>
  </si>
  <si>
    <t>Aster puniceus var. compactus</t>
  </si>
  <si>
    <t>Aster puniceus var. demissus</t>
  </si>
  <si>
    <t>Aster puniceus var. firmus</t>
  </si>
  <si>
    <t>Aster puniceus var. lucidulus</t>
  </si>
  <si>
    <t>Aster puniceus var. oligocephalus</t>
  </si>
  <si>
    <t>Aster puniceus var. perlongus</t>
  </si>
  <si>
    <t>Symphyotrichum firmum</t>
  </si>
  <si>
    <t>Symphyotrichum puniceum var. calderi</t>
  </si>
  <si>
    <t>western silver aster</t>
  </si>
  <si>
    <t>Aster sericeus</t>
  </si>
  <si>
    <t>Lasallea sericea</t>
  </si>
  <si>
    <t>Virgulus sericeus</t>
  </si>
  <si>
    <t>Short's aster</t>
  </si>
  <si>
    <t>Aster camptosorus</t>
  </si>
  <si>
    <t>Aster shortii</t>
  </si>
  <si>
    <t>Symphyotrichum turbinellum</t>
  </si>
  <si>
    <t>smooth violet prairie aster</t>
  </si>
  <si>
    <t>Aster turbinellus</t>
  </si>
  <si>
    <t>white arrowleaf aster</t>
  </si>
  <si>
    <t>Aster hirtellus</t>
  </si>
  <si>
    <t>Aster sagittifolius var. urophyllus</t>
  </si>
  <si>
    <t>Aster urophyllus</t>
  </si>
  <si>
    <t>Symphyotrichum ×woldenii</t>
  </si>
  <si>
    <t>Aster woldenii</t>
  </si>
  <si>
    <t>Aster ×woldenii</t>
  </si>
  <si>
    <t>Symplocarpus foetidus</t>
  </si>
  <si>
    <t>skunk cabbage</t>
  </si>
  <si>
    <t>Spathyema foetida</t>
  </si>
  <si>
    <t>Taenidia integerrima</t>
  </si>
  <si>
    <t>yellow pimpernel</t>
  </si>
  <si>
    <t>Taraxacum officinale</t>
  </si>
  <si>
    <t>common dandelion</t>
  </si>
  <si>
    <t>Tephrosia virginiana</t>
  </si>
  <si>
    <t>Virginia tephrosia</t>
  </si>
  <si>
    <t>Cracca latidens</t>
  </si>
  <si>
    <t>Cracca virginiana</t>
  </si>
  <si>
    <t>Tephrosia latidens</t>
  </si>
  <si>
    <t>Tephrosia virginiana var. glabra</t>
  </si>
  <si>
    <t>Tephrosia virginiana var. holosericea</t>
  </si>
  <si>
    <t>Teucrium canadense</t>
  </si>
  <si>
    <t>Canada germander</t>
  </si>
  <si>
    <t>Teucrium canadense var. canadense</t>
  </si>
  <si>
    <t>Teucrium canadense var. angustatum</t>
  </si>
  <si>
    <t>Teucrium canadense var. littorale</t>
  </si>
  <si>
    <t>Teucrium canadense var. virginicum</t>
  </si>
  <si>
    <t>Teucrium littorale</t>
  </si>
  <si>
    <t>Teucrium canadense var. occidentale</t>
  </si>
  <si>
    <t>western germander</t>
  </si>
  <si>
    <t>Teucrium boreale</t>
  </si>
  <si>
    <t>Teucrium canadense ssp. occidentale</t>
  </si>
  <si>
    <t>Teucrium canadense ssp. viscidum</t>
  </si>
  <si>
    <t>Teucrium canadense var. boreale</t>
  </si>
  <si>
    <t>Teucrium occidentale</t>
  </si>
  <si>
    <t>Teucrium occidentale var. boreale</t>
  </si>
  <si>
    <t>Thalictrum dasycarpum</t>
  </si>
  <si>
    <t>purple meadow-rue</t>
  </si>
  <si>
    <t>Thalictrum dasycarpum var. hypoglaucum</t>
  </si>
  <si>
    <t>Thalictrum hypoglaucum</t>
  </si>
  <si>
    <t>Thalictrum dioicum</t>
  </si>
  <si>
    <t>early meadow-rue</t>
  </si>
  <si>
    <t>Thalictrum revolutum</t>
  </si>
  <si>
    <t>waxyleaf meadow-rue</t>
  </si>
  <si>
    <t>Thalictrum revolutum var. glandulosior</t>
  </si>
  <si>
    <t>rue anemone</t>
  </si>
  <si>
    <t>Anemonella thalictroides</t>
  </si>
  <si>
    <t>Syndesmon thalictroides</t>
  </si>
  <si>
    <t>Thaspium barbinode</t>
  </si>
  <si>
    <t>hairyjoint meadowparsnip</t>
  </si>
  <si>
    <t>Thaspium barbinode var. angustifolium</t>
  </si>
  <si>
    <t>Thaspium chapmanii</t>
  </si>
  <si>
    <t>Thelypteris palustris</t>
  </si>
  <si>
    <t>eastern marsh fern</t>
  </si>
  <si>
    <t>Thelypteris palustris var. pubescens</t>
  </si>
  <si>
    <t>Dryopteris thelypteris</t>
  </si>
  <si>
    <t>Dryopteris thelypteris var. haleana</t>
  </si>
  <si>
    <t>Dryopteris thelypteris var. pubescens</t>
  </si>
  <si>
    <t>Thelypteris confluens var. pubescens</t>
  </si>
  <si>
    <t>Thelypteris palustris var. haleana</t>
  </si>
  <si>
    <t>Thymelaea passerina</t>
  </si>
  <si>
    <t>mezereon</t>
  </si>
  <si>
    <t>Passerina annua</t>
  </si>
  <si>
    <t>Torilis arvensis</t>
  </si>
  <si>
    <t>spreading hedgeparsley</t>
  </si>
  <si>
    <t>Torilis arvensis ssp. arvensis</t>
  </si>
  <si>
    <t>Toxicodendron radicans</t>
  </si>
  <si>
    <t>eastern poison ivy</t>
  </si>
  <si>
    <t>Toxicodendron radicans ssp. negundo</t>
  </si>
  <si>
    <t>Toxicodendron radicans var. negundo</t>
  </si>
  <si>
    <t>Toxicodendron rydbergii</t>
  </si>
  <si>
    <t>western poison ivy</t>
  </si>
  <si>
    <t>Rhus radicans var. rydbergii</t>
  </si>
  <si>
    <t>Rhus radicans var. vulgaris</t>
  </si>
  <si>
    <t>Rhus toxicodendron var. vulgaris</t>
  </si>
  <si>
    <t>Toxicodendron desertorum</t>
  </si>
  <si>
    <t>Toxicodendron radicans var. rydbergii</t>
  </si>
  <si>
    <t>Tradescantia bracteata</t>
  </si>
  <si>
    <t>longbract spiderwort</t>
  </si>
  <si>
    <t>Tradescantia occidentalis</t>
  </si>
  <si>
    <t>prairie spiderwort</t>
  </si>
  <si>
    <t>Tradescantia occidentalis var. occidentalis</t>
  </si>
  <si>
    <t>Tradescantia occidentalis var. typica</t>
  </si>
  <si>
    <t>Tradescantia ohiensis</t>
  </si>
  <si>
    <t>bluejacket</t>
  </si>
  <si>
    <t>Tradescantia canaliculata</t>
  </si>
  <si>
    <t>Tradescantia foliosa</t>
  </si>
  <si>
    <t>Tradescantia incarnata</t>
  </si>
  <si>
    <t>Tradescantia ohiensis var. foliosa</t>
  </si>
  <si>
    <t>Tradescantia reflexa</t>
  </si>
  <si>
    <t>Tradescantia virginiana</t>
  </si>
  <si>
    <t>Virginia spiderwort</t>
  </si>
  <si>
    <t>Ephemerum congestum</t>
  </si>
  <si>
    <t>Tradescantia brevicaulis</t>
  </si>
  <si>
    <t>Tradescantia congesta</t>
  </si>
  <si>
    <t>Tradescantia rupestris</t>
  </si>
  <si>
    <t>Tradescantia speciosa</t>
  </si>
  <si>
    <t>Tradescantia virginiana var. alba</t>
  </si>
  <si>
    <t>Tradescantia virginiana var. barbata</t>
  </si>
  <si>
    <t>Fraser's marsh St. Johnswort</t>
  </si>
  <si>
    <t>Elodea fraseri</t>
  </si>
  <si>
    <t>Hypericum virginicum var. fraseri</t>
  </si>
  <si>
    <t>Triadenum virginicum ssp. fraseri</t>
  </si>
  <si>
    <t>Triadenum virginicum var. fraseri</t>
  </si>
  <si>
    <t>Trichostema brachiatum</t>
  </si>
  <si>
    <t>fluxweed</t>
  </si>
  <si>
    <t>Isanthus brachiatus</t>
  </si>
  <si>
    <t>Isanthus brachiatus var. linearis</t>
  </si>
  <si>
    <t>Tetraclea viscida</t>
  </si>
  <si>
    <t>Trichostema dichotomum</t>
  </si>
  <si>
    <t>forked bluecurls</t>
  </si>
  <si>
    <t>Trichostema dichotomum var. puberulum</t>
  </si>
  <si>
    <t>Trichostema pilosum</t>
  </si>
  <si>
    <t>Trifolium reflexum</t>
  </si>
  <si>
    <t>buffalo clover</t>
  </si>
  <si>
    <t>Trifolium reflexum var. glabrum</t>
  </si>
  <si>
    <t>Trillium cernuum</t>
  </si>
  <si>
    <t>whip-poor-will flower</t>
  </si>
  <si>
    <t>Trillium cernuum var. macranthum</t>
  </si>
  <si>
    <t>Trillium flexipes</t>
  </si>
  <si>
    <t>nodding wakerobin</t>
  </si>
  <si>
    <t>Trillium declinatum</t>
  </si>
  <si>
    <t>Trillium erectum var. blandum</t>
  </si>
  <si>
    <t>Trillium erectum var. declinatum</t>
  </si>
  <si>
    <t>Trillium gleasonii</t>
  </si>
  <si>
    <t>Trillium nivale</t>
  </si>
  <si>
    <t>snow trillium</t>
  </si>
  <si>
    <t>Trillium recurvatum</t>
  </si>
  <si>
    <t>bloody butcher</t>
  </si>
  <si>
    <t>Triodanis leptocarpa</t>
  </si>
  <si>
    <t>slimpod Venus' looking-glass</t>
  </si>
  <si>
    <t>Specularia leptocarpa</t>
  </si>
  <si>
    <t>Triodanis perfoliata</t>
  </si>
  <si>
    <t>clasping Venus' looking-glass</t>
  </si>
  <si>
    <t>Legousia perfoliata</t>
  </si>
  <si>
    <t>Specularia perfoliata</t>
  </si>
  <si>
    <t>Triodanis perfoliata var. perfoliata</t>
  </si>
  <si>
    <t>Triosteum aurantiacum</t>
  </si>
  <si>
    <t>orangefruit horse-gentian</t>
  </si>
  <si>
    <t>Triosteum aurantiacum var. aurantiacum</t>
  </si>
  <si>
    <t>Triosteum perfoliatum var. aurantiacum</t>
  </si>
  <si>
    <t>Triosteum aurantiacum var. illinoense</t>
  </si>
  <si>
    <t>Illinois horse-gentian</t>
  </si>
  <si>
    <t>Triosteum illinoense</t>
  </si>
  <si>
    <t>Triosteum perfoliatum var. illinoense</t>
  </si>
  <si>
    <t>Triosteum perfoliatum</t>
  </si>
  <si>
    <t>feverwort</t>
  </si>
  <si>
    <t>Triphora trianthophora</t>
  </si>
  <si>
    <t>threebirds</t>
  </si>
  <si>
    <t>Triphora trianthophora var. schaffneri</t>
  </si>
  <si>
    <t>Typha angustifolia</t>
  </si>
  <si>
    <t>narrowleaf cattail</t>
  </si>
  <si>
    <t>Typha angustifolia var. calumetensis</t>
  </si>
  <si>
    <t>Typha angustifolia var. elongata</t>
  </si>
  <si>
    <t>Typha ×glauca</t>
  </si>
  <si>
    <t>Typha latifolia</t>
  </si>
  <si>
    <t>broadleaf cattail</t>
  </si>
  <si>
    <t>Urtica dioica</t>
  </si>
  <si>
    <t>stinging nettle</t>
  </si>
  <si>
    <t>Urtica dioica ssp. gracilis</t>
  </si>
  <si>
    <t>California nettle</t>
  </si>
  <si>
    <t>Urtica californica</t>
  </si>
  <si>
    <t>Urtica cardiophylla</t>
  </si>
  <si>
    <t>Urtica dioica var. angustifolia</t>
  </si>
  <si>
    <t>Urtica dioica var. californica</t>
  </si>
  <si>
    <t>Urtica dioica var. gracilis</t>
  </si>
  <si>
    <t>Urtica dioica var. lyallii</t>
  </si>
  <si>
    <t>Urtica dioica var. procera</t>
  </si>
  <si>
    <t>Urtica gracilis</t>
  </si>
  <si>
    <t>Urtica lyallii</t>
  </si>
  <si>
    <t>Urtica lyallii var. californica</t>
  </si>
  <si>
    <t>Urtica major</t>
  </si>
  <si>
    <t>Urtica procera</t>
  </si>
  <si>
    <t>Urtica serra</t>
  </si>
  <si>
    <t>Urtica strigosissima</t>
  </si>
  <si>
    <t>Urtica viridis</t>
  </si>
  <si>
    <t>Utricularia geminiscapa</t>
  </si>
  <si>
    <t>hiddenfruit bladderwort</t>
  </si>
  <si>
    <t>Utricularia gibba</t>
  </si>
  <si>
    <t>humped bladderwort</t>
  </si>
  <si>
    <t>Utricularia biflora</t>
  </si>
  <si>
    <t>Utricularia fibrosa</t>
  </si>
  <si>
    <t>Utricularia obtusa</t>
  </si>
  <si>
    <t>Utricularia pumila</t>
  </si>
  <si>
    <t>Utricularia intermedia</t>
  </si>
  <si>
    <t>flatleaf bladderwort</t>
  </si>
  <si>
    <t>Utricularia macrorhiza</t>
  </si>
  <si>
    <t>common bladderwort</t>
  </si>
  <si>
    <t>Utricularia vulgaris</t>
  </si>
  <si>
    <t>Utricularia vulgaris ssp. macrorhiza</t>
  </si>
  <si>
    <t>Utricularia vulgaris var. americana</t>
  </si>
  <si>
    <t>Utricularia minor</t>
  </si>
  <si>
    <t>lesser bladderwort</t>
  </si>
  <si>
    <t>Uvularia grandiflora</t>
  </si>
  <si>
    <t>largeflower bellwort</t>
  </si>
  <si>
    <t>Uvularia sessilifolia</t>
  </si>
  <si>
    <t>sessileleaf bellwort</t>
  </si>
  <si>
    <t>Oakesiella sessilifolia</t>
  </si>
  <si>
    <t>Valeriana edulis</t>
  </si>
  <si>
    <t>tobacco root</t>
  </si>
  <si>
    <t>Valeriana edulis var. ciliata</t>
  </si>
  <si>
    <t>Valeriana ciliata</t>
  </si>
  <si>
    <t>Valeriana edulis ssp. ciliata</t>
  </si>
  <si>
    <t>Vallisneria americana</t>
  </si>
  <si>
    <t>American eelgrass</t>
  </si>
  <si>
    <t>Vallisneria asiatica</t>
  </si>
  <si>
    <t>Vallisneria neotropicalis</t>
  </si>
  <si>
    <t>Vallisneria spiralis</t>
  </si>
  <si>
    <t>Vallisneria spiralis var. asiatica</t>
  </si>
  <si>
    <t>Veratrum virginicum</t>
  </si>
  <si>
    <t>Melanthium dispersum</t>
  </si>
  <si>
    <t>Melanthium virginicum</t>
  </si>
  <si>
    <t>Veratrum woodii</t>
  </si>
  <si>
    <t>Wood's bunchflower</t>
  </si>
  <si>
    <t>Melanthium woodii</t>
  </si>
  <si>
    <t>Veratrum intermedium</t>
  </si>
  <si>
    <t>Verbena ×blanchardii</t>
  </si>
  <si>
    <t>Verbena bracteata</t>
  </si>
  <si>
    <t>bigbract verbena</t>
  </si>
  <si>
    <t>Verbena bracteosa</t>
  </si>
  <si>
    <t>Verbena imbricata</t>
  </si>
  <si>
    <t>Verbena ×deamii</t>
  </si>
  <si>
    <t>Verbena ×dodgei</t>
  </si>
  <si>
    <t>Verbena ×engelmannii</t>
  </si>
  <si>
    <t>Verbena hastata</t>
  </si>
  <si>
    <t>swamp verbena</t>
  </si>
  <si>
    <t>Verbena hastata var. hastata</t>
  </si>
  <si>
    <t>Verbena hastata var. scabra</t>
  </si>
  <si>
    <t>Verbena ×illicita</t>
  </si>
  <si>
    <t>Verbena ×moechina</t>
  </si>
  <si>
    <t>Verbena ×perriana</t>
  </si>
  <si>
    <t>Verbena ×rydbergii</t>
  </si>
  <si>
    <t>Verbena ×paniculatistricta</t>
  </si>
  <si>
    <t>Verbena simplex</t>
  </si>
  <si>
    <t>narrowleaf vervain</t>
  </si>
  <si>
    <t>Verbena angustifolia</t>
  </si>
  <si>
    <t>Verbena stricta</t>
  </si>
  <si>
    <t>hoary verbena</t>
  </si>
  <si>
    <t>Verbena urticifolia</t>
  </si>
  <si>
    <t>white vervain</t>
  </si>
  <si>
    <t>Verbena urticifolia var. leiocarpa</t>
  </si>
  <si>
    <t>Verbena urticifolia var. urticifolia</t>
  </si>
  <si>
    <t>Verbena urticifolia var. incarnata</t>
  </si>
  <si>
    <t>Verbena urticifolia var. simplex</t>
  </si>
  <si>
    <t>wingstem</t>
  </si>
  <si>
    <t>Actinomeris alternifolia</t>
  </si>
  <si>
    <t>Ridan alternifolia</t>
  </si>
  <si>
    <t>Verbesina encelioides</t>
  </si>
  <si>
    <t>golden crownbeard</t>
  </si>
  <si>
    <t>Verbesina encelioides ssp. exauriculata</t>
  </si>
  <si>
    <t>Verbesina encelioides var. exauriculata</t>
  </si>
  <si>
    <t>Verbesina exauriculata</t>
  </si>
  <si>
    <t>Ximenesia encelioides var. exauriculata</t>
  </si>
  <si>
    <t>Ximenesia exauriculata</t>
  </si>
  <si>
    <t>Verbesina helianthoides</t>
  </si>
  <si>
    <t>gravelweed</t>
  </si>
  <si>
    <t>Actinomeris helianthoides</t>
  </si>
  <si>
    <t>Actinomeris helianthoides var. elliottii</t>
  </si>
  <si>
    <t>Actinomeris helianthoides var. nuttallii</t>
  </si>
  <si>
    <t>Actinomeris oppositifolia</t>
  </si>
  <si>
    <t>Phaethusa helianthoides</t>
  </si>
  <si>
    <t>Pterophyton helianthoides</t>
  </si>
  <si>
    <t>Verbesina virginica</t>
  </si>
  <si>
    <t>white crownbeard</t>
  </si>
  <si>
    <t>Verbesina virginica var. virginica</t>
  </si>
  <si>
    <t>Phaethusa virginica</t>
  </si>
  <si>
    <t>Vernonia baldwinii</t>
  </si>
  <si>
    <t>Baldwin's ironweed</t>
  </si>
  <si>
    <t>Vernonia baldwinii ssp. interior</t>
  </si>
  <si>
    <t>interior ironweed</t>
  </si>
  <si>
    <t>Vernonia interior</t>
  </si>
  <si>
    <t>Vernonia fasciculata</t>
  </si>
  <si>
    <t>prairie ironweed</t>
  </si>
  <si>
    <t>Vernonia fasciculata ssp. corymbosa</t>
  </si>
  <si>
    <t>Vernonia fasciculata var. corymbosa</t>
  </si>
  <si>
    <t>Vernonia fasciculata ssp. fasciculata</t>
  </si>
  <si>
    <t>Vernonia gigantea</t>
  </si>
  <si>
    <t>giant ironweed</t>
  </si>
  <si>
    <t>Vernonia gigantea ssp. gigantea</t>
  </si>
  <si>
    <t>Vernonia altissima</t>
  </si>
  <si>
    <t>Vernonia altissima var. lilacina</t>
  </si>
  <si>
    <t>Vernonia altissima var. taeniotricha</t>
  </si>
  <si>
    <t>Vernonia missurica</t>
  </si>
  <si>
    <t>Missouri ironweed</t>
  </si>
  <si>
    <t>Vernonia aborigina</t>
  </si>
  <si>
    <t>Veronica americana</t>
  </si>
  <si>
    <t>American speedwell</t>
  </si>
  <si>
    <t>Veronica anagallis-aquatica</t>
  </si>
  <si>
    <t>water speedwell</t>
  </si>
  <si>
    <t>Veronica anagallis</t>
  </si>
  <si>
    <t>Veronica catenata</t>
  </si>
  <si>
    <t>Veronica catenata var. glandulosa</t>
  </si>
  <si>
    <t>Veronica comosa</t>
  </si>
  <si>
    <t>Veronica comosa var. glaberrima</t>
  </si>
  <si>
    <t>Veronica comosa var. glandulosa</t>
  </si>
  <si>
    <t>Veronica connata</t>
  </si>
  <si>
    <t>Veronica connata ssp. glaberrima</t>
  </si>
  <si>
    <t>Veronica connata var. glaberrima</t>
  </si>
  <si>
    <t>Veronica connata var. typica</t>
  </si>
  <si>
    <t>Veronica glandifera</t>
  </si>
  <si>
    <t>Veronica grandiflora</t>
  </si>
  <si>
    <t>Veronica ×lackschewitzii</t>
  </si>
  <si>
    <t>Veronica micromeria</t>
  </si>
  <si>
    <t>Veronica salina</t>
  </si>
  <si>
    <t>Veronica peregrina</t>
  </si>
  <si>
    <t>neckweed</t>
  </si>
  <si>
    <t>Veronica peregrina ssp. peregrina</t>
  </si>
  <si>
    <t>Veronica peregrina var. typica</t>
  </si>
  <si>
    <t>Veronica peregrina ssp. xalapensis</t>
  </si>
  <si>
    <t>hairy purslane speedwell</t>
  </si>
  <si>
    <t>Veronica peregrina var. xalapensis</t>
  </si>
  <si>
    <t>Veronica sherwoodii</t>
  </si>
  <si>
    <t>Veronica xalapensis</t>
  </si>
  <si>
    <t>Veronica scutellata</t>
  </si>
  <si>
    <t>skullcap speedwell</t>
  </si>
  <si>
    <t>Veronica scutellata var. villosa</t>
  </si>
  <si>
    <t>Veronica serpyllifolia</t>
  </si>
  <si>
    <t>thymeleaf speedwell</t>
  </si>
  <si>
    <t>Veronicastrum virginicum</t>
  </si>
  <si>
    <t>Culver's root</t>
  </si>
  <si>
    <t>Leptandra virginica</t>
  </si>
  <si>
    <t>Veronica virginica</t>
  </si>
  <si>
    <t>Vicia americana</t>
  </si>
  <si>
    <t>American vetch</t>
  </si>
  <si>
    <t>Vicia americana ssp. americana</t>
  </si>
  <si>
    <t>Vicia americana ssp. oregana</t>
  </si>
  <si>
    <t>Vicia americana var. americana</t>
  </si>
  <si>
    <t>Vicia americana var. oregana</t>
  </si>
  <si>
    <t>Vicia americana var. truncata</t>
  </si>
  <si>
    <t>Vicia americana var. villosa</t>
  </si>
  <si>
    <t>Vicia californica</t>
  </si>
  <si>
    <t>Vicia californica var. madrensis</t>
  </si>
  <si>
    <t>Vicia oregana</t>
  </si>
  <si>
    <t>Vicia sparsifolia var. truncata</t>
  </si>
  <si>
    <t>Vicia americana ssp. minor</t>
  </si>
  <si>
    <t>mat vetch</t>
  </si>
  <si>
    <t>Lathyrus linearis</t>
  </si>
  <si>
    <t>Vicia americana var. angustifolia</t>
  </si>
  <si>
    <t>Vicia americana var. linearis</t>
  </si>
  <si>
    <t>Vicia americana var. minor</t>
  </si>
  <si>
    <t>Vicia linearis</t>
  </si>
  <si>
    <t>Vicia sparsifolia</t>
  </si>
  <si>
    <t>Vicia trifida</t>
  </si>
  <si>
    <t>Viola adunca</t>
  </si>
  <si>
    <t>hookedspur violet</t>
  </si>
  <si>
    <t>Viola adunca var. adunca</t>
  </si>
  <si>
    <t>Viola adunca ssp. ashtonae</t>
  </si>
  <si>
    <t>Viola adunca ssp. radicosa</t>
  </si>
  <si>
    <t>Viola adunca ssp. typica</t>
  </si>
  <si>
    <t>Viola adunca ssp. uncinulata</t>
  </si>
  <si>
    <t>Viola adunca var. bellidifolia</t>
  </si>
  <si>
    <t>Viola adunca var. cascadensis</t>
  </si>
  <si>
    <t>Viola adunca var. uncinulata</t>
  </si>
  <si>
    <t>Viola aduncoides</t>
  </si>
  <si>
    <t>Viola bellidifolia</t>
  </si>
  <si>
    <t>Viola cascadensis</t>
  </si>
  <si>
    <t>Viola montanensis</t>
  </si>
  <si>
    <t>Viola subvestita</t>
  </si>
  <si>
    <t>Viola ×bernardii</t>
  </si>
  <si>
    <t>Viola angellae</t>
  </si>
  <si>
    <t>Viola emarginata var. subsinuata</t>
  </si>
  <si>
    <t>Viola subsinuata</t>
  </si>
  <si>
    <t>Viola ×subsinuata</t>
  </si>
  <si>
    <t>Viola bicolor</t>
  </si>
  <si>
    <t>field pansy</t>
  </si>
  <si>
    <t>Viola kitaibeliana</t>
  </si>
  <si>
    <t>Viola kitaibeliana var. rafinesquei</t>
  </si>
  <si>
    <t>Viola rafinesquei</t>
  </si>
  <si>
    <t>Viola blanda</t>
  </si>
  <si>
    <t>sweet white violet</t>
  </si>
  <si>
    <t>Viola blanda var. palustriformis</t>
  </si>
  <si>
    <t>Viola incognita</t>
  </si>
  <si>
    <t>Viola incognita var. forbesii</t>
  </si>
  <si>
    <t>Viola canadensis</t>
  </si>
  <si>
    <t>Canadian white violet</t>
  </si>
  <si>
    <t>Viola canadensis var. rugulosa</t>
  </si>
  <si>
    <t>creepingroot violet</t>
  </si>
  <si>
    <t>Viola canadensis ssp. rydbergii</t>
  </si>
  <si>
    <t>Viola rugulosa</t>
  </si>
  <si>
    <t>Viola rydbergii</t>
  </si>
  <si>
    <t>Viola cucullata</t>
  </si>
  <si>
    <t>marsh blue violet</t>
  </si>
  <si>
    <t>Viola cucullata var. microtitis</t>
  </si>
  <si>
    <t>Viola obliqua</t>
  </si>
  <si>
    <t>Viola lanceolata</t>
  </si>
  <si>
    <t>bog white violet</t>
  </si>
  <si>
    <t>Viola lanceolata ssp. lanceolata</t>
  </si>
  <si>
    <t>Viola macloskeyi</t>
  </si>
  <si>
    <t>small white violet</t>
  </si>
  <si>
    <t>Viola macloskeyi ssp. pallens</t>
  </si>
  <si>
    <t>smooth white violet</t>
  </si>
  <si>
    <t>Viola macloskeyi var. pallens</t>
  </si>
  <si>
    <t>Viola pallens</t>
  </si>
  <si>
    <t>Viola pallens var. subreptans</t>
  </si>
  <si>
    <t>Viola missouriensis</t>
  </si>
  <si>
    <t>Missouri violet</t>
  </si>
  <si>
    <t>Viola sororia var. missouriensis</t>
  </si>
  <si>
    <t>Viola nephrophylla</t>
  </si>
  <si>
    <t>northern bog violet</t>
  </si>
  <si>
    <t>Viola maccabeana</t>
  </si>
  <si>
    <t>Viola nephrophylla var. arizonica</t>
  </si>
  <si>
    <t>Viola nephrophylla var. cognata</t>
  </si>
  <si>
    <t>Viola pratincola</t>
  </si>
  <si>
    <t>Viola retusa</t>
  </si>
  <si>
    <t>Viola pedata</t>
  </si>
  <si>
    <t>birdfoot violet</t>
  </si>
  <si>
    <t>Viola pedata var. concolor</t>
  </si>
  <si>
    <t>Viola pedata var. lineariloba</t>
  </si>
  <si>
    <t>Viola pedata var. ranunculifolia</t>
  </si>
  <si>
    <t>Viola pedatifida</t>
  </si>
  <si>
    <t>prairie violet</t>
  </si>
  <si>
    <t>Viola palmata var. pedatifida</t>
  </si>
  <si>
    <t>Viola ×primulifolia</t>
  </si>
  <si>
    <t>Viola primulifolia</t>
  </si>
  <si>
    <t>Viola primulifolia ssp. villosa</t>
  </si>
  <si>
    <t>Viola primulifolia var. acuta</t>
  </si>
  <si>
    <t>Viola primulifolia var. villosa</t>
  </si>
  <si>
    <t>Viola pubescens</t>
  </si>
  <si>
    <t>downy yellow violet</t>
  </si>
  <si>
    <t>Viola pubescens var. pubescens</t>
  </si>
  <si>
    <t>Viola eriocarpon</t>
  </si>
  <si>
    <t>Viola pensylvanica</t>
  </si>
  <si>
    <t>Viola pubescens var. eriocarpon</t>
  </si>
  <si>
    <t>Viola renifolia</t>
  </si>
  <si>
    <t>white violet</t>
  </si>
  <si>
    <t>Viola renifolia var. brainerdii</t>
  </si>
  <si>
    <t>Viola sagittata</t>
  </si>
  <si>
    <t>arrowleaf violet</t>
  </si>
  <si>
    <t>Viola sagittata var. ovata</t>
  </si>
  <si>
    <t>Viola ×abundans</t>
  </si>
  <si>
    <t>Viola ×erratica</t>
  </si>
  <si>
    <t>Viola fimbriatula</t>
  </si>
  <si>
    <t>Viola sagittata var. sagittata</t>
  </si>
  <si>
    <t>Viola ×cestrica</t>
  </si>
  <si>
    <t>Viola emarginata</t>
  </si>
  <si>
    <t>Viola emarginata var. acutiloba</t>
  </si>
  <si>
    <t>Viola sagittata var. subsagittata</t>
  </si>
  <si>
    <t>Viola septentrionalis</t>
  </si>
  <si>
    <t>northern woodland violet</t>
  </si>
  <si>
    <t>Viola sororia</t>
  </si>
  <si>
    <t>common blue violet</t>
  </si>
  <si>
    <t>Viola floridana</t>
  </si>
  <si>
    <t>Viola latiuscula</t>
  </si>
  <si>
    <t>Viola palmata var. sororia</t>
  </si>
  <si>
    <t>Viola papilionacea</t>
  </si>
  <si>
    <t>Viola papilionacea var. priceana</t>
  </si>
  <si>
    <t>Viola priceana</t>
  </si>
  <si>
    <t>Viola striata</t>
  </si>
  <si>
    <t>striped cream violet</t>
  </si>
  <si>
    <t>Viola sublanceolata</t>
  </si>
  <si>
    <t>lanceleaf violet</t>
  </si>
  <si>
    <t>Viola ×viarum</t>
  </si>
  <si>
    <t>twoflower violet</t>
  </si>
  <si>
    <t>Viola viarum</t>
  </si>
  <si>
    <t>Wolffia borealis</t>
  </si>
  <si>
    <t>northern watermeal</t>
  </si>
  <si>
    <t>Wolffia punctata</t>
  </si>
  <si>
    <t>Wolffia brasiliensis</t>
  </si>
  <si>
    <t>Brazilian watermeal</t>
  </si>
  <si>
    <t>Bruniera punctata</t>
  </si>
  <si>
    <t>Wolffia papulifera</t>
  </si>
  <si>
    <t>Wolffia columbiana</t>
  </si>
  <si>
    <t>Columbian watermeal</t>
  </si>
  <si>
    <t>Bruniera columbiana</t>
  </si>
  <si>
    <t>Woodsia ilvensis</t>
  </si>
  <si>
    <t>rusty woodsia</t>
  </si>
  <si>
    <t>Woodsia obtusa</t>
  </si>
  <si>
    <t>bluntlobe cliff fern</t>
  </si>
  <si>
    <t>Woodsia obtusa ssp. obtusa</t>
  </si>
  <si>
    <t>Woodsia oregana</t>
  </si>
  <si>
    <t>Oregon cliff fern</t>
  </si>
  <si>
    <t>Woodsia oregana ssp. cathcartiana</t>
  </si>
  <si>
    <t>Woodsia cathcartiana</t>
  </si>
  <si>
    <t>Woodsia oregana var. cathcartiana</t>
  </si>
  <si>
    <t>Xanthium strumarium</t>
  </si>
  <si>
    <t>rough cocklebur</t>
  </si>
  <si>
    <t>Xanthium strumarium var. canadense</t>
  </si>
  <si>
    <t>Canada cocklebur</t>
  </si>
  <si>
    <t>Xanthium acerosum</t>
  </si>
  <si>
    <t>Xanthium californicum</t>
  </si>
  <si>
    <t>Xanthium californicum var. rotundifolium</t>
  </si>
  <si>
    <t>Xanthium campestre</t>
  </si>
  <si>
    <t>Xanthium canadense</t>
  </si>
  <si>
    <t>Xanthium cavanillesii</t>
  </si>
  <si>
    <t>Xanthium cenchroides</t>
  </si>
  <si>
    <t>Xanthium commune</t>
  </si>
  <si>
    <t>Xanthium echinatum</t>
  </si>
  <si>
    <t>Xanthium glanduliferum</t>
  </si>
  <si>
    <t>Xanthium italicum</t>
  </si>
  <si>
    <t>Xanthium macounii</t>
  </si>
  <si>
    <t>Xanthium oligacanthum</t>
  </si>
  <si>
    <t>Xanthium oviforme</t>
  </si>
  <si>
    <t>Xanthium pensylvanicum</t>
  </si>
  <si>
    <t>Xanthium saccharatum</t>
  </si>
  <si>
    <t>Xanthium speciosum</t>
  </si>
  <si>
    <t>Xanthium strumarium ssp. italicum</t>
  </si>
  <si>
    <t>Xanthium strumarium var. oviforme</t>
  </si>
  <si>
    <t>Xanthium strumarium var. pensylvanicum</t>
  </si>
  <si>
    <t>Xanthium varians</t>
  </si>
  <si>
    <t>Xanthium strumarium var. glabratum</t>
  </si>
  <si>
    <t>Xanthium americanum</t>
  </si>
  <si>
    <t>Xanthium calvum</t>
  </si>
  <si>
    <t>Xanthium chasei</t>
  </si>
  <si>
    <t>Xanthium chinense</t>
  </si>
  <si>
    <t>Xanthium curvescens</t>
  </si>
  <si>
    <t>Xanthium cylindraceum</t>
  </si>
  <si>
    <t>Xanthium echinellum</t>
  </si>
  <si>
    <t>Xanthium globosum</t>
  </si>
  <si>
    <t>Xanthium inflexum</t>
  </si>
  <si>
    <t>Xanthium macrocarpum var. glabratum</t>
  </si>
  <si>
    <t>Xanthium occidentale</t>
  </si>
  <si>
    <t>Xanthium orientale</t>
  </si>
  <si>
    <t>Xanthium strumarium var. wootonii</t>
  </si>
  <si>
    <t>Xanthium wootonii</t>
  </si>
  <si>
    <t>Xyris torta</t>
  </si>
  <si>
    <t>slender yelloweyed grass</t>
  </si>
  <si>
    <t>Xyris bulbosa</t>
  </si>
  <si>
    <t>Xyris flexuosa</t>
  </si>
  <si>
    <t>Xyris indica</t>
  </si>
  <si>
    <t>Xyris torta var. macropoda</t>
  </si>
  <si>
    <t>Xyris torta var. occidentalis</t>
  </si>
  <si>
    <t>Yucca glauca</t>
  </si>
  <si>
    <t>soapweed yucca</t>
  </si>
  <si>
    <t>Yucca glauca var. glauca</t>
  </si>
  <si>
    <t>Yucca angustifolia</t>
  </si>
  <si>
    <t>Zannichellia palustris</t>
  </si>
  <si>
    <t>horned pondweed</t>
  </si>
  <si>
    <t>Zannichellia major</t>
  </si>
  <si>
    <t>Zannichellia palustris var. major</t>
  </si>
  <si>
    <t>Zannichellia palustris var. stenophylla</t>
  </si>
  <si>
    <t>Zigadenus elegans</t>
  </si>
  <si>
    <t>mountain deathcamas</t>
  </si>
  <si>
    <t>Zigadenus elegans ssp. elegans</t>
  </si>
  <si>
    <t>Anticlea coloradensis</t>
  </si>
  <si>
    <t>Anticlea elegans</t>
  </si>
  <si>
    <t>Zigadenus alpinus</t>
  </si>
  <si>
    <t>Zigadenus elegans ssp. glaucus</t>
  </si>
  <si>
    <t>Anticlea chlorantha</t>
  </si>
  <si>
    <t>Zigadenus elegans var. glaucus</t>
  </si>
  <si>
    <t>Zigadenus glaucus</t>
  </si>
  <si>
    <t>Zizia aptera</t>
  </si>
  <si>
    <t>meadow zizia</t>
  </si>
  <si>
    <t>Zizia aptera var. occidentalis</t>
  </si>
  <si>
    <t>Zizia cordata</t>
  </si>
  <si>
    <t>Zizia aurea</t>
  </si>
  <si>
    <t>golden zizia</t>
  </si>
  <si>
    <t>Forbs, Legumes, Herbs</t>
  </si>
  <si>
    <t>Scientific Name                             </t>
  </si>
  <si>
    <t>Abies balsamea</t>
  </si>
  <si>
    <t>balsam fir</t>
  </si>
  <si>
    <t>Abies balsamea var. balsamea</t>
  </si>
  <si>
    <t>Pinus balsamea</t>
  </si>
  <si>
    <t>Acer negundo</t>
  </si>
  <si>
    <t>boxelder</t>
  </si>
  <si>
    <t>Acer negundo var. negundo</t>
  </si>
  <si>
    <t>Acer negundo var. variegatum</t>
  </si>
  <si>
    <t>Negundo aceroides</t>
  </si>
  <si>
    <t>Negundo negundo</t>
  </si>
  <si>
    <t>Acer negundo var. violaceum</t>
  </si>
  <si>
    <t>Negundo aceroides ssp. violaceum</t>
  </si>
  <si>
    <t>Acer nigrum</t>
  </si>
  <si>
    <t>black maple</t>
  </si>
  <si>
    <t>Acer nigrum var. palmeri</t>
  </si>
  <si>
    <t>Acer saccharum ssp. nigrum</t>
  </si>
  <si>
    <t>Acer saccharum var. nigrum</t>
  </si>
  <si>
    <t>Acer saccharum var. viride</t>
  </si>
  <si>
    <t>Saccharodendron nigrum</t>
  </si>
  <si>
    <t>Acer rubrum</t>
  </si>
  <si>
    <t>red maple</t>
  </si>
  <si>
    <t>Acer rubrum var. rubrum</t>
  </si>
  <si>
    <t>Acer rubrum var. tomentosum</t>
  </si>
  <si>
    <t>Acer stenocarpum</t>
  </si>
  <si>
    <t>Rufacer rubrum</t>
  </si>
  <si>
    <t>Acer saccharinum</t>
  </si>
  <si>
    <t>silver maple</t>
  </si>
  <si>
    <t>Acer dasycarpum</t>
  </si>
  <si>
    <t>Acer saccharinum var. laciniatum</t>
  </si>
  <si>
    <t>Acer saccharinum var. wieri</t>
  </si>
  <si>
    <t>Argentacer saccharinum</t>
  </si>
  <si>
    <t>Acer saccharum</t>
  </si>
  <si>
    <t>sugar maple</t>
  </si>
  <si>
    <t>Acer saccharum var. saccharum</t>
  </si>
  <si>
    <t>Acer nigrum var. glaucum</t>
  </si>
  <si>
    <t>Acer nigrum var. saccharophorum</t>
  </si>
  <si>
    <t>Acer saccharum var. glaucum</t>
  </si>
  <si>
    <t>Acer saccharum var. rugellii</t>
  </si>
  <si>
    <t>Saccharodendron saccharum</t>
  </si>
  <si>
    <t>Acer spicatum</t>
  </si>
  <si>
    <t>mountain maple</t>
  </si>
  <si>
    <t>Aesculus glabra</t>
  </si>
  <si>
    <t>Ohio buckeye</t>
  </si>
  <si>
    <t>Aesculus glabra var. arguta</t>
  </si>
  <si>
    <t>Aesculus arguta</t>
  </si>
  <si>
    <t>Aesculus glabra var. buckleyi</t>
  </si>
  <si>
    <t>Aesculus glabra var. glabra</t>
  </si>
  <si>
    <t>Aesculus glabra var. leucodermis</t>
  </si>
  <si>
    <t>Aesculus glabra var. micrantha</t>
  </si>
  <si>
    <t>Aesculus glabra var. monticola</t>
  </si>
  <si>
    <t>Aesculus glabra var. pallida</t>
  </si>
  <si>
    <t>Aesculus glabra var. sargentii</t>
  </si>
  <si>
    <t>Aesculus ×marylandica</t>
  </si>
  <si>
    <t>Alnus incana</t>
  </si>
  <si>
    <t>gray alder</t>
  </si>
  <si>
    <t>Alnus incana ssp. rugosa</t>
  </si>
  <si>
    <t>speckled alder</t>
  </si>
  <si>
    <t>Alnus incana var. americana</t>
  </si>
  <si>
    <t>Alnus rugosa</t>
  </si>
  <si>
    <t>Alnus rugosa var. americana</t>
  </si>
  <si>
    <t>Amelanchier alnifolia</t>
  </si>
  <si>
    <t>Saskatoon serviceberry</t>
  </si>
  <si>
    <t>Amelanchier alnifolia var. alnifolia</t>
  </si>
  <si>
    <t>Amelanchier arborea</t>
  </si>
  <si>
    <t>common serviceberry</t>
  </si>
  <si>
    <t>Amelanchier arborea var. arborea</t>
  </si>
  <si>
    <t>Amelanchier oblongifolia</t>
  </si>
  <si>
    <t>Amelanchier humilis</t>
  </si>
  <si>
    <t>low serviceberry</t>
  </si>
  <si>
    <t>Amelanchier humilis var. campestris</t>
  </si>
  <si>
    <t>Amelanchier humilis var. compacta</t>
  </si>
  <si>
    <t>Amelanchier humilis var. exserrata</t>
  </si>
  <si>
    <t>Amelanchier mucronata</t>
  </si>
  <si>
    <t>Amelanchier stolonifera</t>
  </si>
  <si>
    <t>Amelanchier interior</t>
  </si>
  <si>
    <t>Pacific serviceberry</t>
  </si>
  <si>
    <t>Amelanchier wiegandii</t>
  </si>
  <si>
    <t>Amelanchier laevis</t>
  </si>
  <si>
    <t>Allegheny serviceberry</t>
  </si>
  <si>
    <t>Amelanchier arborea ssp. laevis</t>
  </si>
  <si>
    <t>Amelanchier arborea var. cordifolia</t>
  </si>
  <si>
    <t>Amelanchier arborea var. laevis</t>
  </si>
  <si>
    <t>Amelanchier ×grandiflora</t>
  </si>
  <si>
    <t>Amelanchier laevis var. nitida</t>
  </si>
  <si>
    <t>Amelanchier sanguinea</t>
  </si>
  <si>
    <t>roundleaf serviceberry</t>
  </si>
  <si>
    <t>Amelanchier sanguinea var. sanguinea</t>
  </si>
  <si>
    <t>Amelanchier amabilis</t>
  </si>
  <si>
    <t>Amelanchier grandiflora</t>
  </si>
  <si>
    <t>Amelanchier huronensis</t>
  </si>
  <si>
    <t>Amelanchier sanguinea var. grandiflora</t>
  </si>
  <si>
    <t>running serviceberry</t>
  </si>
  <si>
    <t>Amelanchier spicata</t>
  </si>
  <si>
    <t>Amorpha canescens</t>
  </si>
  <si>
    <t>leadplant</t>
  </si>
  <si>
    <t>Amorpha brachycarpa</t>
  </si>
  <si>
    <t>Amorpha fruticosa</t>
  </si>
  <si>
    <t>desert false indigo</t>
  </si>
  <si>
    <t>Amorpha angustifolia</t>
  </si>
  <si>
    <t>Amorpha bushii</t>
  </si>
  <si>
    <t>Amorpha croceolanata</t>
  </si>
  <si>
    <t>Amorpha curtissii</t>
  </si>
  <si>
    <t>Amorpha dewinkeleri</t>
  </si>
  <si>
    <t>Amorpha fruticosa var. angustifolia</t>
  </si>
  <si>
    <t>Amorpha fruticosa var. croceolanata</t>
  </si>
  <si>
    <t>Amorpha fruticosa var. emarginata</t>
  </si>
  <si>
    <t>Amorpha fruticosa var. oblongifolia</t>
  </si>
  <si>
    <t>Amorpha fruticosa var. occidentalis</t>
  </si>
  <si>
    <t>Amorpha fruticosa var. tennesseensis</t>
  </si>
  <si>
    <t>Amorpha occidentalis</t>
  </si>
  <si>
    <t>Amorpha occidentalis var. arizonica</t>
  </si>
  <si>
    <t>Amorpha occidentalis var. emarginata</t>
  </si>
  <si>
    <t>Amorpha tennesseensis</t>
  </si>
  <si>
    <t>Amorpha virgata</t>
  </si>
  <si>
    <t>Amorpha nana</t>
  </si>
  <si>
    <t>dwarf false indigo</t>
  </si>
  <si>
    <t>Arctostaphylos uva-ursi</t>
  </si>
  <si>
    <t>kinnikinnick</t>
  </si>
  <si>
    <t>Arctostaphylos adenotricha</t>
  </si>
  <si>
    <t>Arctostaphylos uva-ursi ssp. adenotricha</t>
  </si>
  <si>
    <t>Arctostaphylos uva-ursi ssp. coactilis</t>
  </si>
  <si>
    <t>Arctostaphylos uva-ursi ssp. longipilosa</t>
  </si>
  <si>
    <t>Arctostaphylos uva-ursi ssp. monoensis</t>
  </si>
  <si>
    <t>Arctostaphylos uva-ursi ssp. stipitata</t>
  </si>
  <si>
    <t>Arctostaphylos uva-ursi var. adenotricha</t>
  </si>
  <si>
    <t>Arctostaphylos uva-ursi var. coactilis</t>
  </si>
  <si>
    <t>Arctostaphylos uva-ursi var. leobreweri</t>
  </si>
  <si>
    <t>Arctostaphylos uva-ursi var. marinensis</t>
  </si>
  <si>
    <t>Arctostaphylos uva-ursi var. pacifica</t>
  </si>
  <si>
    <t>Arctostaphylos uva-ursi var. stipitata</t>
  </si>
  <si>
    <t>Arctostaphylos uva-ursi var. suborbiculata</t>
  </si>
  <si>
    <t>Uva-Ursi uva-ursi</t>
  </si>
  <si>
    <t>Artemisia frigida</t>
  </si>
  <si>
    <t>prairie sagewort</t>
  </si>
  <si>
    <t>Asimina triloba</t>
  </si>
  <si>
    <t>pawpaw</t>
  </si>
  <si>
    <t>Betula alleghaniensis</t>
  </si>
  <si>
    <t>yellow birch</t>
  </si>
  <si>
    <t>Betula alleghaniensis var. alleghaniensis</t>
  </si>
  <si>
    <t>Betula alleghaniensis var. fallax</t>
  </si>
  <si>
    <t>Betula lutea</t>
  </si>
  <si>
    <t>Betula lutea var. fallax</t>
  </si>
  <si>
    <t>Betula nigra</t>
  </si>
  <si>
    <t>river birch</t>
  </si>
  <si>
    <t>Betula papyrifera</t>
  </si>
  <si>
    <t>paper birch</t>
  </si>
  <si>
    <t>Betula papyrifera var. cordifolia</t>
  </si>
  <si>
    <t>mountain paper birch</t>
  </si>
  <si>
    <t>Betula alba var. cordifolia</t>
  </si>
  <si>
    <t>Betula cordifolia</t>
  </si>
  <si>
    <t>Betula papyrifera var. papyrifera</t>
  </si>
  <si>
    <t>Betula alba var. commutata</t>
  </si>
  <si>
    <t>Betula papyrifera var. commutata</t>
  </si>
  <si>
    <t>Betula papyrifera var. elobata</t>
  </si>
  <si>
    <t>Betula papyrifera var. macrostachya</t>
  </si>
  <si>
    <t>Betula papyrifera var. pensilis</t>
  </si>
  <si>
    <t>Betula pumila</t>
  </si>
  <si>
    <t>bog birch</t>
  </si>
  <si>
    <t>Betula pumila var. glandulifera</t>
  </si>
  <si>
    <t>Betula glandulifera</t>
  </si>
  <si>
    <t>Betula glandulosa var. glandulifera</t>
  </si>
  <si>
    <t>Betula glandulosa var. hallii</t>
  </si>
  <si>
    <t>Betula nana var. glandulifera</t>
  </si>
  <si>
    <t>Betula ×sandbergii</t>
  </si>
  <si>
    <t>Carpinus caroliniana</t>
  </si>
  <si>
    <t>American hornbeam</t>
  </si>
  <si>
    <t>Carpinus caroliniana ssp. virginiana</t>
  </si>
  <si>
    <t>Carpinus betulus var. virginiana</t>
  </si>
  <si>
    <t>Carpinus caroliniana var. virginiana</t>
  </si>
  <si>
    <t>Carya alba</t>
  </si>
  <si>
    <t>mockernut hickory</t>
  </si>
  <si>
    <t>Carya tomentosa</t>
  </si>
  <si>
    <t>Carya tomentosa var. subcoriacea</t>
  </si>
  <si>
    <t>Hicoria tomentosa</t>
  </si>
  <si>
    <t>Juglans alba</t>
  </si>
  <si>
    <t>Carya cordiformis</t>
  </si>
  <si>
    <t>bitternut hickory</t>
  </si>
  <si>
    <t>Carya cordiformis var. latifolia</t>
  </si>
  <si>
    <t>Hicoria cordiformis</t>
  </si>
  <si>
    <t>Carya illinoinensis</t>
  </si>
  <si>
    <t>pecan</t>
  </si>
  <si>
    <t>Carya oliviformis</t>
  </si>
  <si>
    <t>Carya pecan</t>
  </si>
  <si>
    <t>Hicoria pecan</t>
  </si>
  <si>
    <t>Carya laciniosa</t>
  </si>
  <si>
    <t>shellbark hickory</t>
  </si>
  <si>
    <t>Hicoria laciniosa</t>
  </si>
  <si>
    <t>Carya ×nussbaumeri</t>
  </si>
  <si>
    <t>Carya ovalis</t>
  </si>
  <si>
    <t>red hickory</t>
  </si>
  <si>
    <t>Carya glabra var. odorata</t>
  </si>
  <si>
    <t>Carya ovalis var. mollis</t>
  </si>
  <si>
    <t>Carya ovalis var. obcordata</t>
  </si>
  <si>
    <t>Carya ovalis var. obovalis</t>
  </si>
  <si>
    <t>Carya ovalis var. odorata</t>
  </si>
  <si>
    <t>Carya ×ovalis var. odorata</t>
  </si>
  <si>
    <t>Hicoria ovalis</t>
  </si>
  <si>
    <t>Carya ovata</t>
  </si>
  <si>
    <t>shagbark hickory</t>
  </si>
  <si>
    <t>Carya ovata var. fraxinifolia</t>
  </si>
  <si>
    <t>Carya ovata var. nuttallii</t>
  </si>
  <si>
    <t>Carya ovata var. pubescens</t>
  </si>
  <si>
    <t>Hicoria alba</t>
  </si>
  <si>
    <t>Hicoria borealis</t>
  </si>
  <si>
    <t>Hicoria ovata</t>
  </si>
  <si>
    <t>Carya ×schneckii</t>
  </si>
  <si>
    <t>Castanea dentata</t>
  </si>
  <si>
    <t>American chestnut</t>
  </si>
  <si>
    <t>Castanea americana</t>
  </si>
  <si>
    <t>Catalpa bignonioides</t>
  </si>
  <si>
    <t>southern catalpa</t>
  </si>
  <si>
    <t>Catalpa catalpa</t>
  </si>
  <si>
    <t>Catalpa speciosa</t>
  </si>
  <si>
    <t>northern catalpa</t>
  </si>
  <si>
    <t>Ceanothus americanus</t>
  </si>
  <si>
    <t>New Jersey tea</t>
  </si>
  <si>
    <t>Ceanothus americanus var. intermedius</t>
  </si>
  <si>
    <t>Ceanothus americanus var. pitcheri</t>
  </si>
  <si>
    <t>Ceanothus intermedius</t>
  </si>
  <si>
    <t>Jersey tea</t>
  </si>
  <si>
    <t>Ceanothus herbaceus var. pubescens</t>
  </si>
  <si>
    <t>Ceanothus ovatus</t>
  </si>
  <si>
    <t>Ceanothus ovatus var. pubescens</t>
  </si>
  <si>
    <t>Ceanothus pubescens</t>
  </si>
  <si>
    <t>Celtis occidentalis</t>
  </si>
  <si>
    <t>common hackberry</t>
  </si>
  <si>
    <t>Celtis canina</t>
  </si>
  <si>
    <t>Celtis occidentalis var. canina</t>
  </si>
  <si>
    <t>Celtis occidentalis var. cordata</t>
  </si>
  <si>
    <t>Celtis occidentalis var. crassifolia</t>
  </si>
  <si>
    <t>Celtis occidentalis var. occidentalis</t>
  </si>
  <si>
    <t>Celtis occidentalis var. pumila</t>
  </si>
  <si>
    <t>Celtis pumila</t>
  </si>
  <si>
    <t>Celtis pumila var. deamii</t>
  </si>
  <si>
    <t>Cephalanthus occidentalis</t>
  </si>
  <si>
    <t>common buttonbush</t>
  </si>
  <si>
    <t>Cephalanthus occidentalis var. californicus</t>
  </si>
  <si>
    <t>Cephalanthus occidentalis var. pubescens</t>
  </si>
  <si>
    <t>Cercis canadensis</t>
  </si>
  <si>
    <t>eastern redbud</t>
  </si>
  <si>
    <t>Cercis canadensis var. canadensis</t>
  </si>
  <si>
    <t>Chamaedaphne calyculata</t>
  </si>
  <si>
    <t>leatherleaf</t>
  </si>
  <si>
    <t>Cassandra calyculata var. angustifolia</t>
  </si>
  <si>
    <t>Cassandra calyculata var. latifolia</t>
  </si>
  <si>
    <t>Chamaedaphne calyculata var. angustifolia</t>
  </si>
  <si>
    <t>Chamaedaphne calyculata var. latifolia</t>
  </si>
  <si>
    <t>Chamaedaphne calyculata var. nana</t>
  </si>
  <si>
    <t>Chimaphila umbellata</t>
  </si>
  <si>
    <t>pipsissewa</t>
  </si>
  <si>
    <t>Chimaphila umbellata ssp. cisatlantica</t>
  </si>
  <si>
    <t>Chimaphila corymbosa</t>
  </si>
  <si>
    <t>Chimaphila umbellata var. cisatlantica</t>
  </si>
  <si>
    <t>Cladrastis kentukea</t>
  </si>
  <si>
    <t>Kentucky yellowwood</t>
  </si>
  <si>
    <t>Cladrastis lutea</t>
  </si>
  <si>
    <t>Sophora kentukea</t>
  </si>
  <si>
    <t>Cornus alternifolia</t>
  </si>
  <si>
    <t>alternateleaf dogwood</t>
  </si>
  <si>
    <t>Swida alternifolia</t>
  </si>
  <si>
    <t>silky dogwood</t>
  </si>
  <si>
    <t>Swida amomum</t>
  </si>
  <si>
    <t>Cornus drummondii</t>
  </si>
  <si>
    <t>roughleaf dogwood</t>
  </si>
  <si>
    <t>Cornus priceae</t>
  </si>
  <si>
    <t>Swida priceae</t>
  </si>
  <si>
    <t>Cornus obliqua</t>
  </si>
  <si>
    <t>Cornus amomum ssp. obliqua</t>
  </si>
  <si>
    <t>Cornus amomum var. schuetzeana</t>
  </si>
  <si>
    <t>Cornus purpusii</t>
  </si>
  <si>
    <t>Cornus racemosa</t>
  </si>
  <si>
    <t>gray dogwood</t>
  </si>
  <si>
    <t>Cornus foemina ssp. racemosa</t>
  </si>
  <si>
    <t>Cornus paniculata</t>
  </si>
  <si>
    <t>Cornus rugosa</t>
  </si>
  <si>
    <t>roundleaf dogwood</t>
  </si>
  <si>
    <t>redosier dogwood</t>
  </si>
  <si>
    <t>Cornus sericea ssp. sericea</t>
  </si>
  <si>
    <t>Cornus alba</t>
  </si>
  <si>
    <t>Cornus alba ssp. stolonifera</t>
  </si>
  <si>
    <t>Cornus alba var. baileyi</t>
  </si>
  <si>
    <t>Cornus alba var. interior</t>
  </si>
  <si>
    <t>Cornus alba var. sibirica</t>
  </si>
  <si>
    <t>Cornus baileyi</t>
  </si>
  <si>
    <t>Cornus instolonea</t>
  </si>
  <si>
    <t>Cornus interior</t>
  </si>
  <si>
    <t>Cornus sericea ssp. stolonifera</t>
  </si>
  <si>
    <t>Cornus sericea var. interior</t>
  </si>
  <si>
    <t>Cornus stolonifera</t>
  </si>
  <si>
    <t>Cornus stolonifera var. baileyi</t>
  </si>
  <si>
    <t>Cornus stolonifera var. coloradensis</t>
  </si>
  <si>
    <t>Cornus stolonifera var. interior</t>
  </si>
  <si>
    <t>Cornus stolonifera var. stolonifera</t>
  </si>
  <si>
    <t>Swida instolonea</t>
  </si>
  <si>
    <t>Swida sericea</t>
  </si>
  <si>
    <t>Swida stolonifera</t>
  </si>
  <si>
    <t>Corylus americana</t>
  </si>
  <si>
    <t>American hazelnut</t>
  </si>
  <si>
    <t>Corylus americana var. indehiscens</t>
  </si>
  <si>
    <t>Corylus cornuta</t>
  </si>
  <si>
    <t>beaked hazelnut</t>
  </si>
  <si>
    <t>Corylus cornuta var. cornuta</t>
  </si>
  <si>
    <t>Corylus rostrata</t>
  </si>
  <si>
    <t>Crataegus calpodendron</t>
  </si>
  <si>
    <t>pear hawthorn</t>
  </si>
  <si>
    <t>Crataegus acanthacolonensis</t>
  </si>
  <si>
    <t>Crataegus calpodendron var. gigantea</t>
  </si>
  <si>
    <t>Crataegus calpodendron var. globosa</t>
  </si>
  <si>
    <t>Crataegus calpodendron var. hispida</t>
  </si>
  <si>
    <t>Crataegus calpodendron var. hispidula</t>
  </si>
  <si>
    <t>Crataegus calpodendron var. microcarpa</t>
  </si>
  <si>
    <t>Crataegus calpodendron var. mollicula</t>
  </si>
  <si>
    <t>Crataegus calpodendron var. obesa</t>
  </si>
  <si>
    <t>Crataegus chapmanii</t>
  </si>
  <si>
    <t>Crataegus fontanesiana</t>
  </si>
  <si>
    <t>Crataegus globosa</t>
  </si>
  <si>
    <t>Crataegus chrysocarpa</t>
  </si>
  <si>
    <t>fireberry hawthorn</t>
  </si>
  <si>
    <t>Crataegus chrysocarpa var. chrysocarpa</t>
  </si>
  <si>
    <t>red haw</t>
  </si>
  <si>
    <t>Crataegus aboriginum</t>
  </si>
  <si>
    <t>Crataegus brunetiana</t>
  </si>
  <si>
    <t>Crataegus brunetiana var. fernaldii</t>
  </si>
  <si>
    <t>Crataegus caliciglabrata</t>
  </si>
  <si>
    <t>Crataegus chrysocarpa var. aboriginum</t>
  </si>
  <si>
    <t>Crataegus chrysocarpa var. longiacuminata</t>
  </si>
  <si>
    <t>Crataegus chrysocarpa var. phoenicea</t>
  </si>
  <si>
    <t>Crataegus chrysocarpa var. rotundifolia</t>
  </si>
  <si>
    <t>Crataegus coccinata</t>
  </si>
  <si>
    <t>Crataegus coccinea</t>
  </si>
  <si>
    <t>Crataegus columbiana var. chrysocarpa</t>
  </si>
  <si>
    <t>Crataegus doddsii</t>
  </si>
  <si>
    <t>Crataegus faxonii</t>
  </si>
  <si>
    <t>Crataegus faxonii var. durifrucata</t>
  </si>
  <si>
    <t>Crataegus faxonii var. praecoqua</t>
  </si>
  <si>
    <t>Crataegus faxonii var. praetermissa</t>
  </si>
  <si>
    <t>Crataegus illuminata</t>
  </si>
  <si>
    <t>Crataegus jackii</t>
  </si>
  <si>
    <t>Crataegus laurentiana var. brunetiana</t>
  </si>
  <si>
    <t>Crataegus laurentiana var. dissimilifolia</t>
  </si>
  <si>
    <t>Crataegus mercerensis</t>
  </si>
  <si>
    <t>Crataegus putnamiana</t>
  </si>
  <si>
    <t>Crataegus rotundifolia</t>
  </si>
  <si>
    <t>Crataegus sicca</t>
  </si>
  <si>
    <t>Crataegus sicca var. glabrifolia</t>
  </si>
  <si>
    <t>Crataegus subrotundifolia</t>
  </si>
  <si>
    <t>Crataegus coccinioides</t>
  </si>
  <si>
    <t>Kansas hawthorn</t>
  </si>
  <si>
    <t>Crataegus crus-galli</t>
  </si>
  <si>
    <t>cockspur hawthorn</t>
  </si>
  <si>
    <t>Crataegus acutifolia</t>
  </si>
  <si>
    <t>Crataegus acutifolia var. insignis</t>
  </si>
  <si>
    <t>Crataegus algens</t>
  </si>
  <si>
    <t>Crataegus barrettiana</t>
  </si>
  <si>
    <t>Crataegus bushii</t>
  </si>
  <si>
    <t>Crataegus canbyi</t>
  </si>
  <si>
    <t>Crataegus cherokeensis</t>
  </si>
  <si>
    <t>Crataegus cocksii</t>
  </si>
  <si>
    <t>Crataegus crus-galli var. barrettiana</t>
  </si>
  <si>
    <t>Crataegus crus-galli var. bellica</t>
  </si>
  <si>
    <t>Crataegus crus-galli var. capillata</t>
  </si>
  <si>
    <t>Crataegus crus-galli var. exigua</t>
  </si>
  <si>
    <t>Crataegus crus-galli var. leptophylla</t>
  </si>
  <si>
    <t>Crataegus crus-galli var. macra</t>
  </si>
  <si>
    <t>Crataegus crus-galli var. oblongata</t>
  </si>
  <si>
    <t>Crataegus crus-galli var. pachyphylla</t>
  </si>
  <si>
    <t>Crataegus crus-galli var. pyracanthifolia</t>
  </si>
  <si>
    <t>Crataegus danielsii</t>
  </si>
  <si>
    <t>Crataegus denaria</t>
  </si>
  <si>
    <t>Crataegus fecunda</t>
  </si>
  <si>
    <t>Crataegus hannibalensis</t>
  </si>
  <si>
    <t>Crataegus mohrii</t>
  </si>
  <si>
    <t>Crataegus operta</t>
  </si>
  <si>
    <t>Crataegus palliata</t>
  </si>
  <si>
    <t>Crataegus palmeri</t>
  </si>
  <si>
    <t>Crataegus permixta</t>
  </si>
  <si>
    <t>Crataegus pyracanthoides</t>
  </si>
  <si>
    <t>Crataegus regalis</t>
  </si>
  <si>
    <t>Crataegus regalis var. paradoxa</t>
  </si>
  <si>
    <t>Crataegus sabineana</t>
  </si>
  <si>
    <t>Crataegus schizophylla</t>
  </si>
  <si>
    <t>Crataegus signata</t>
  </si>
  <si>
    <t>Crataegus subpilosa</t>
  </si>
  <si>
    <t>Crataegus tantula</t>
  </si>
  <si>
    <t>Crataegus tenax</t>
  </si>
  <si>
    <t>Crataegus triumphalis</t>
  </si>
  <si>
    <t>Crataegus uniqua</t>
  </si>
  <si>
    <t>Crataegus vallicola</t>
  </si>
  <si>
    <t>Crataegus disperma</t>
  </si>
  <si>
    <t>spreading hawthorn</t>
  </si>
  <si>
    <t>Crataegus ×collicola</t>
  </si>
  <si>
    <t>Crataegus collina var. collicola</t>
  </si>
  <si>
    <t>Crataegus cuneiformis</t>
  </si>
  <si>
    <t>Crataegus disperma var. peoriensis</t>
  </si>
  <si>
    <t>Crataegus ×pausiaca</t>
  </si>
  <si>
    <t>Crataegus peoriensis</t>
  </si>
  <si>
    <t>Crataegus punctata var. pausiaca</t>
  </si>
  <si>
    <t>Crataegus margarettiae</t>
  </si>
  <si>
    <t>Margarett's hawthorn</t>
  </si>
  <si>
    <t>Crataegus evansiana</t>
  </si>
  <si>
    <t>Crataegus margarettiae var. angustifolia</t>
  </si>
  <si>
    <t>Crataegus margarettiae var. brownii</t>
  </si>
  <si>
    <t>Crataegus margarettiae var. meiophylla</t>
  </si>
  <si>
    <t>Crataegus mollis</t>
  </si>
  <si>
    <t>downy hawthorn</t>
  </si>
  <si>
    <t>Crataegus albicans</t>
  </si>
  <si>
    <t>Crataegus arkansana</t>
  </si>
  <si>
    <t>Crataegus brachyphylla</t>
  </si>
  <si>
    <t>Crataegus cibaria</t>
  </si>
  <si>
    <t>Crataegus gravida</t>
  </si>
  <si>
    <t>Crataegus induta</t>
  </si>
  <si>
    <t>Crataegus invisa</t>
  </si>
  <si>
    <t>Crataegus lacera</t>
  </si>
  <si>
    <t>Crataegus limaria</t>
  </si>
  <si>
    <t>Crataegus mollis var. dumetosa</t>
  </si>
  <si>
    <t>Crataegus mollis var. gigantea</t>
  </si>
  <si>
    <t>Crataegus mollis var. incisifolia</t>
  </si>
  <si>
    <t>Crataegus mollis var. sera</t>
  </si>
  <si>
    <t>Crataegus noelensis</t>
  </si>
  <si>
    <t>Crataegus pedicellata var. albicans</t>
  </si>
  <si>
    <t>Crataegus placens</t>
  </si>
  <si>
    <t>Crataegus pruinosa</t>
  </si>
  <si>
    <t>waxyfruit hawthorn</t>
  </si>
  <si>
    <t>Crataegus aspera</t>
  </si>
  <si>
    <t>Crataegus cognata</t>
  </si>
  <si>
    <t>Crataegus congesta</t>
  </si>
  <si>
    <t>Crataegus crawfordiana</t>
  </si>
  <si>
    <t>Crataegus deltoides</t>
  </si>
  <si>
    <t>Crataegus formosa</t>
  </si>
  <si>
    <t>Crataegus gattingeri</t>
  </si>
  <si>
    <t>Crataegus gattingeri var. rigida</t>
  </si>
  <si>
    <t>Crataegus gaudens</t>
  </si>
  <si>
    <t>Crataegus georgiana</t>
  </si>
  <si>
    <t>Crataegus lecta</t>
  </si>
  <si>
    <t>Crataegus leiophylla</t>
  </si>
  <si>
    <t>Crataegus littoralis</t>
  </si>
  <si>
    <t>Crataegus mackenziei</t>
  </si>
  <si>
    <t>Crataegus mackenziei var. aspera</t>
  </si>
  <si>
    <t>Crataegus mackenziei var. bracteata</t>
  </si>
  <si>
    <t>Crataegus parvula</t>
  </si>
  <si>
    <t>Crataegus platycarpa</t>
  </si>
  <si>
    <t>Crataegus porteri</t>
  </si>
  <si>
    <t>Crataegus porteri var. caerulescens</t>
  </si>
  <si>
    <t>Crataegus pruinosa var. cognata</t>
  </si>
  <si>
    <t>Crataegus pruinosa var. congesta</t>
  </si>
  <si>
    <t>Crataegus pruinosa var. conjuncta</t>
  </si>
  <si>
    <t>Crataegus pruinosa var. grandiflora</t>
  </si>
  <si>
    <t>Crataegus pruinosa var. latisepala</t>
  </si>
  <si>
    <t>Crataegus pruinosa var. leiophylla</t>
  </si>
  <si>
    <t>Crataegus pruinosa var. pachypoda</t>
  </si>
  <si>
    <t>Crataegus pruinosa var. parvula</t>
  </si>
  <si>
    <t>Crataegus pruinosa var. porteri</t>
  </si>
  <si>
    <t>Crataegus pruinosa var. rugosa</t>
  </si>
  <si>
    <t>Crataegus pruinosa var. virella</t>
  </si>
  <si>
    <t>Crataegus rugosa</t>
  </si>
  <si>
    <t>Crataegus vicinalis</t>
  </si>
  <si>
    <t>Crataegus virella</t>
  </si>
  <si>
    <t>Crataegus punctata</t>
  </si>
  <si>
    <t>dotted hawthorn</t>
  </si>
  <si>
    <t>Crataegus collina</t>
  </si>
  <si>
    <t>Crataegus collina var. secta</t>
  </si>
  <si>
    <t>Crataegus collina var. sordida</t>
  </si>
  <si>
    <t>Crataegus collina var. succincta</t>
  </si>
  <si>
    <t>Crataegus fastosa</t>
  </si>
  <si>
    <t>Crataegus punctata var. aurea</t>
  </si>
  <si>
    <t>Crataegus punctata var. canescens</t>
  </si>
  <si>
    <t>Crataegus punctata var. microphylla</t>
  </si>
  <si>
    <t>Crataegus verruculosa</t>
  </si>
  <si>
    <t>Crataegus succulenta</t>
  </si>
  <si>
    <t>fleshy hawthorn</t>
  </si>
  <si>
    <t>Crataegus ambrosia</t>
  </si>
  <si>
    <t>Crataegus ardula</t>
  </si>
  <si>
    <t>Crataegus bicknellii</t>
  </si>
  <si>
    <t>Crataegus celsa</t>
  </si>
  <si>
    <t>Crataegus chrysocarpa var. bicknellii</t>
  </si>
  <si>
    <t>Crataegus columbiana var. occidentalis</t>
  </si>
  <si>
    <t>Crataegus divida</t>
  </si>
  <si>
    <t>Crataegus ferta</t>
  </si>
  <si>
    <t>Crataegus florifera</t>
  </si>
  <si>
    <t>Crataegus florifera var. celsa</t>
  </si>
  <si>
    <t>Crataegus florifera var. mortonis</t>
  </si>
  <si>
    <t>Crataegus florifera var. shirleyensis</t>
  </si>
  <si>
    <t>Crataegus florifera var. virilis</t>
  </si>
  <si>
    <t>Crataegus gemmosa</t>
  </si>
  <si>
    <t>Crataegus incerta</t>
  </si>
  <si>
    <t>Crataegus integriloba</t>
  </si>
  <si>
    <t>Crataegus laxiflora</t>
  </si>
  <si>
    <t>Crataegus leucantha</t>
  </si>
  <si>
    <t>Crataegus macracantha</t>
  </si>
  <si>
    <t>Crataegus macracantha var. colorado</t>
  </si>
  <si>
    <t>Crataegus macracantha var. divida</t>
  </si>
  <si>
    <t>Crataegus macracantha var. integriloba</t>
  </si>
  <si>
    <t>Crataegus macracantha var. occidentalis</t>
  </si>
  <si>
    <t>Crataegus macracantha var. pertomentosa</t>
  </si>
  <si>
    <t>Crataegus mortonis</t>
  </si>
  <si>
    <t>Crataegus neofluvialis</t>
  </si>
  <si>
    <t>Crataegus pertomentosa</t>
  </si>
  <si>
    <t>Crataegus pisifera</t>
  </si>
  <si>
    <t>Crataegus saeva</t>
  </si>
  <si>
    <t>Crataegus shirleyensis</t>
  </si>
  <si>
    <t>Crataegus silvestris</t>
  </si>
  <si>
    <t>Crataegus succulenta var. gemmosa</t>
  </si>
  <si>
    <t>Crataegus succulenta var. laxiflora</t>
  </si>
  <si>
    <t>Crataegus succulenta var. macracantha</t>
  </si>
  <si>
    <t>Crataegus succulenta var. michiganensis</t>
  </si>
  <si>
    <t>Crataegus succulenta var. neofluvialis</t>
  </si>
  <si>
    <t>Crataegus succulenta var. occidentalis</t>
  </si>
  <si>
    <t>Crataegus succulenta var. pertomentosa</t>
  </si>
  <si>
    <t>Crataegus succulenta var. pisifera</t>
  </si>
  <si>
    <t>Crataegus succulenta var. rutila</t>
  </si>
  <si>
    <t>Crataegus sylvestris</t>
  </si>
  <si>
    <t>Crataegus venulosa</t>
  </si>
  <si>
    <t>Crataegus virilis</t>
  </si>
  <si>
    <t>Dasiphora fruticosa</t>
  </si>
  <si>
    <t>shrubby cinquefoil</t>
  </si>
  <si>
    <t>Dasiphora fruticosa ssp. floribunda</t>
  </si>
  <si>
    <t>Dasiphora floribunda</t>
  </si>
  <si>
    <t>Pentaphylloides floribunda</t>
  </si>
  <si>
    <t>Pentaphylloides fruticosa</t>
  </si>
  <si>
    <t>Potentilla floribunda</t>
  </si>
  <si>
    <t>Potentilla fruticosa</t>
  </si>
  <si>
    <t>Potentilla fruticosa ssp. floribunda</t>
  </si>
  <si>
    <t>Potentilla fruticosa var. farreri</t>
  </si>
  <si>
    <t>Potentilla fruticosa var. tenuifolia</t>
  </si>
  <si>
    <t>Decodon verticillatus</t>
  </si>
  <si>
    <t>swamp loosestrife</t>
  </si>
  <si>
    <t>Decodon verticillatus var. laevigatus</t>
  </si>
  <si>
    <t>Diervilla lonicera</t>
  </si>
  <si>
    <t>northern bush honeysuckle</t>
  </si>
  <si>
    <t>Diervilla diervilla</t>
  </si>
  <si>
    <t>Diervilla lonicera var. hypomalaca</t>
  </si>
  <si>
    <t>Diospyros virginiana</t>
  </si>
  <si>
    <t>common persimmon</t>
  </si>
  <si>
    <t>Diospyros mosieri</t>
  </si>
  <si>
    <t>Diospyros virginiana var. mosieri</t>
  </si>
  <si>
    <t>Diospyros virginiana var. platycarpa</t>
  </si>
  <si>
    <t>Diospyros virginiana var. pubescens</t>
  </si>
  <si>
    <t>Diospyros virginiana var. virginiana</t>
  </si>
  <si>
    <t>Dirca palustris</t>
  </si>
  <si>
    <t>eastern leatherwood</t>
  </si>
  <si>
    <t>Epigaea repens</t>
  </si>
  <si>
    <t>trailing arbutus</t>
  </si>
  <si>
    <t>Epigaea repens var. glabrifolia</t>
  </si>
  <si>
    <t>Eriodictyon angustifolium</t>
  </si>
  <si>
    <t>narrowleaf yerba santa</t>
  </si>
  <si>
    <t>Eriodictyon angustifolium var. amplifolium</t>
  </si>
  <si>
    <t>Escobaria missouriensis</t>
  </si>
  <si>
    <t>Missouri foxtail cactus</t>
  </si>
  <si>
    <t>Coryphantha missouriensis</t>
  </si>
  <si>
    <t>Coryphantha missouriensis var. caespitosa</t>
  </si>
  <si>
    <t>Coryphantha missouriensis var. robustior</t>
  </si>
  <si>
    <t>Coryphantha similis</t>
  </si>
  <si>
    <t>Escobaria missouriensis ssp. navajoensis</t>
  </si>
  <si>
    <t>Escobaria missouriensis var. caespitosa</t>
  </si>
  <si>
    <t>Escobaria missouriensis var. missouriensis</t>
  </si>
  <si>
    <t>Escobaria missouriensis var. robustior</t>
  </si>
  <si>
    <t>Escobaria missouriensis var. similis</t>
  </si>
  <si>
    <t>Mammillaria missouriensis</t>
  </si>
  <si>
    <t>Mammillaria roseiflora</t>
  </si>
  <si>
    <t>Mammillaria similis</t>
  </si>
  <si>
    <t>Mammillaria similis var. robustior</t>
  </si>
  <si>
    <t>Neobesseya missouriensis</t>
  </si>
  <si>
    <t>Neobesseya wissmannii</t>
  </si>
  <si>
    <t>Neomammillaria similis</t>
  </si>
  <si>
    <t>Euonymus atropurpureus</t>
  </si>
  <si>
    <t>burningbush</t>
  </si>
  <si>
    <t>Euonymus atropurpurea</t>
  </si>
  <si>
    <t>Euonymus atropurpureus var. atropurpureus</t>
  </si>
  <si>
    <t>eastern wahoo</t>
  </si>
  <si>
    <t>Euonymus atropurpurea var. atropurpurea</t>
  </si>
  <si>
    <t>Frangula alnus</t>
  </si>
  <si>
    <t>glossy buckthorn</t>
  </si>
  <si>
    <t>Rhamnus frangula</t>
  </si>
  <si>
    <t>Rhamnus frangula ssp. columnaris</t>
  </si>
  <si>
    <t>Rhamnus frangula var. angustifolia</t>
  </si>
  <si>
    <t>Fraxinus americana</t>
  </si>
  <si>
    <t>white ash</t>
  </si>
  <si>
    <t>Fraxinus americana var. biltmoreana</t>
  </si>
  <si>
    <t>Fraxinus americana var. crassifolia</t>
  </si>
  <si>
    <t>Fraxinus americana var. curtissii</t>
  </si>
  <si>
    <t>Fraxinus americana var. juglandifolia</t>
  </si>
  <si>
    <t>Fraxinus americana var. microcarpa</t>
  </si>
  <si>
    <t>Fraxinus biltmoreana</t>
  </si>
  <si>
    <t>Fraxinus nigra</t>
  </si>
  <si>
    <t>black ash</t>
  </si>
  <si>
    <t>Fraxinus pennsylvanica</t>
  </si>
  <si>
    <t>green ash</t>
  </si>
  <si>
    <t>Fraxinus campestris</t>
  </si>
  <si>
    <t>Fraxinus darlingtonii</t>
  </si>
  <si>
    <t>Fraxinus lanceolata</t>
  </si>
  <si>
    <t>Fraxinus pennsylvanica var. austinii</t>
  </si>
  <si>
    <t>Fraxinus pennsylvanica var. integerrima</t>
  </si>
  <si>
    <t>Fraxinus pennsylvanica var. lanceolata</t>
  </si>
  <si>
    <t>Fraxinus pennsylvanica var. subintegerrima</t>
  </si>
  <si>
    <t>Fraxinus smallii</t>
  </si>
  <si>
    <t>Fraxinus quadrangulata</t>
  </si>
  <si>
    <t>blue ash</t>
  </si>
  <si>
    <t>Gaylussacia baccata</t>
  </si>
  <si>
    <t>black huckleberry</t>
  </si>
  <si>
    <t>Decachaena baccata</t>
  </si>
  <si>
    <t>Gleditsia triacanthos</t>
  </si>
  <si>
    <t>honeylocust</t>
  </si>
  <si>
    <t>Gleditsia triacanthos var. inermis</t>
  </si>
  <si>
    <t>Gymnocladus dioicus</t>
  </si>
  <si>
    <t>Kentucky coffeetree</t>
  </si>
  <si>
    <t>Hamamelis virginiana</t>
  </si>
  <si>
    <t>American witchhazel</t>
  </si>
  <si>
    <t>Hamamelis macrophylla</t>
  </si>
  <si>
    <t>Hamamelis virginiana var. henryi</t>
  </si>
  <si>
    <t>Hamamelis virginiana var. macrophylla</t>
  </si>
  <si>
    <t>Hamamelis virginiana var. parvifolia</t>
  </si>
  <si>
    <t>Hudsonia tomentosa</t>
  </si>
  <si>
    <t>woolly beachheather</t>
  </si>
  <si>
    <t>Hudsonia tomentosa var. tomentosa</t>
  </si>
  <si>
    <t>Hudsonia ericoides ssp. tomentosa</t>
  </si>
  <si>
    <t>Hypericum prolificum</t>
  </si>
  <si>
    <t>shrubby St. Johnswort</t>
  </si>
  <si>
    <t>Hypericum spathulatum</t>
  </si>
  <si>
    <t>Ilex verticillata</t>
  </si>
  <si>
    <t>common winterberry</t>
  </si>
  <si>
    <t>Ilex bronxensis</t>
  </si>
  <si>
    <t>Ilex fastigiata</t>
  </si>
  <si>
    <t>Ilex verticillata var. cyclophylla</t>
  </si>
  <si>
    <t>Ilex verticillata var. fastigiata</t>
  </si>
  <si>
    <t>Ilex verticillata var. padifolia</t>
  </si>
  <si>
    <t>Ilex verticillata var. tenuifolia</t>
  </si>
  <si>
    <t>Juglans cinerea</t>
  </si>
  <si>
    <t>butternut</t>
  </si>
  <si>
    <t>Wallia cinerea</t>
  </si>
  <si>
    <t>Juglans nigra</t>
  </si>
  <si>
    <t>black walnut</t>
  </si>
  <si>
    <t>Wallia nigra</t>
  </si>
  <si>
    <t>Juniperus communis</t>
  </si>
  <si>
    <t>common juniper</t>
  </si>
  <si>
    <t>Juniperus communis var. depressa</t>
  </si>
  <si>
    <t>Juniperus canadensis</t>
  </si>
  <si>
    <t>Juniperus communis ssp. depressa</t>
  </si>
  <si>
    <t>Juniperus depressa</t>
  </si>
  <si>
    <t>Juniperus horizontalis</t>
  </si>
  <si>
    <t>creeping juniper</t>
  </si>
  <si>
    <t>Juniperus horizontalis var. argentea</t>
  </si>
  <si>
    <t>Juniperus horizontalis var. douglasii</t>
  </si>
  <si>
    <t>Juniperus horizontalis var. glauca</t>
  </si>
  <si>
    <t>Juniperus horizontalis var. variegata</t>
  </si>
  <si>
    <t>Juniperus hudsonica</t>
  </si>
  <si>
    <t>Juniperus prostrata</t>
  </si>
  <si>
    <t>Juniperus repens</t>
  </si>
  <si>
    <t>Juniperus virginiana var. prostrata</t>
  </si>
  <si>
    <t>Sabina horizontalis</t>
  </si>
  <si>
    <t>Sabina prostrata</t>
  </si>
  <si>
    <t>Juniperus virginiana</t>
  </si>
  <si>
    <t>eastern redcedar</t>
  </si>
  <si>
    <t>Juniperus virginiana var. virginiana</t>
  </si>
  <si>
    <t>Juniperus virginiana ssp. crebra</t>
  </si>
  <si>
    <t>Juniperus virginiana var. crebra</t>
  </si>
  <si>
    <t>Sabina virginiana</t>
  </si>
  <si>
    <t>Lindera benzoin</t>
  </si>
  <si>
    <t>northern spicebush</t>
  </si>
  <si>
    <t>Lindera benzoin var. pubescens</t>
  </si>
  <si>
    <t>Benzoin aestivale var. pubescens</t>
  </si>
  <si>
    <t>Liriodendron tulipifera</t>
  </si>
  <si>
    <t>tuliptree</t>
  </si>
  <si>
    <t>Lonicera canadensis</t>
  </si>
  <si>
    <t>American fly honeysuckle</t>
  </si>
  <si>
    <t>Xylosteon ciliatum</t>
  </si>
  <si>
    <t>Lonicera reticulata</t>
  </si>
  <si>
    <t>grape honeysuckle</t>
  </si>
  <si>
    <t>Lonicera prolifera</t>
  </si>
  <si>
    <t>Lonicera prolifera var. glabra</t>
  </si>
  <si>
    <t>Lonicera sullivantii</t>
  </si>
  <si>
    <t>Maclura pomifera</t>
  </si>
  <si>
    <t>osage orange</t>
  </si>
  <si>
    <t>Ioxylon pomiferum</t>
  </si>
  <si>
    <t>Toxylon pomiferum</t>
  </si>
  <si>
    <t>Malus ioensis</t>
  </si>
  <si>
    <t>prairie crab apple</t>
  </si>
  <si>
    <t>Malus ioensis var. ioensis</t>
  </si>
  <si>
    <t>Malus ioensis var. bushii</t>
  </si>
  <si>
    <t>Malus ioensis var. palmeri</t>
  </si>
  <si>
    <t>Pyrus ioensis</t>
  </si>
  <si>
    <t>Morus rubra</t>
  </si>
  <si>
    <t>red mulberry</t>
  </si>
  <si>
    <t>Morus rubra var. rubra</t>
  </si>
  <si>
    <t>Opuntia fragilis</t>
  </si>
  <si>
    <t>brittle pricklypear</t>
  </si>
  <si>
    <t>Cactus fragilis</t>
  </si>
  <si>
    <t>Opuntia brachyarthra</t>
  </si>
  <si>
    <t>Opuntia fragilis ssp. brachyarthra</t>
  </si>
  <si>
    <t>Opuntia fragilis var. brachyarthra</t>
  </si>
  <si>
    <t>Opuntia fragilis var. denudata</t>
  </si>
  <si>
    <t>Opuntia fragilis var. fragilis</t>
  </si>
  <si>
    <t>Opuntia humifusa</t>
  </si>
  <si>
    <t>devil's-tongue</t>
  </si>
  <si>
    <t>Opuntia calcicola</t>
  </si>
  <si>
    <t>Opuntia compressa</t>
  </si>
  <si>
    <t>Opuntia compressa var. allairei</t>
  </si>
  <si>
    <t>Opuntia compressa var. fuscoatra</t>
  </si>
  <si>
    <t>Opuntia compressa var. microsperma</t>
  </si>
  <si>
    <t>Opuntia cumulicola</t>
  </si>
  <si>
    <t>Opuntia humifusa var. humifusa</t>
  </si>
  <si>
    <t>Opuntia rafinesquei</t>
  </si>
  <si>
    <t>Opuntia macrorhiza</t>
  </si>
  <si>
    <t>twistspine pricklypear</t>
  </si>
  <si>
    <t>Opuntia macrorhiza var. macrorhiza</t>
  </si>
  <si>
    <t>Opuntia compressa var. grandiflora</t>
  </si>
  <si>
    <t>Opuntia compressa var. macrorhiza</t>
  </si>
  <si>
    <t>Opuntia compressa var. stenochila</t>
  </si>
  <si>
    <t>Opuntia grandiflora</t>
  </si>
  <si>
    <t>Opuntia leptocarpa</t>
  </si>
  <si>
    <t>Opuntia mackensenii</t>
  </si>
  <si>
    <t>Opuntia plumbea</t>
  </si>
  <si>
    <t>Opuntia sphaerocarpa</t>
  </si>
  <si>
    <t>Opuntia tenuispina</t>
  </si>
  <si>
    <t>Opuntia tortispina</t>
  </si>
  <si>
    <t>Orthilia secunda</t>
  </si>
  <si>
    <t>sidebells wintergreen</t>
  </si>
  <si>
    <t>Orthilia secunda ssp. obtusata</t>
  </si>
  <si>
    <t>Orthilia secunda var. obtusata</t>
  </si>
  <si>
    <t>Pyrola secunda</t>
  </si>
  <si>
    <t>Pyrola secunda ssp. obtusata</t>
  </si>
  <si>
    <t>Pyrola secunda var. obtusata</t>
  </si>
  <si>
    <t>Ramischia elatior</t>
  </si>
  <si>
    <t>Ramischia secunda</t>
  </si>
  <si>
    <t>Ostrya virginiana</t>
  </si>
  <si>
    <t>hophornbeam</t>
  </si>
  <si>
    <t>Ostrya virginiana var. virginiana</t>
  </si>
  <si>
    <t>Ostrya virginiana var. lasia</t>
  </si>
  <si>
    <t>Philadelphus pubescens</t>
  </si>
  <si>
    <t>hoary mock orange</t>
  </si>
  <si>
    <t>Philadelphus pubescens var. pubescens</t>
  </si>
  <si>
    <t>Philadelphus latifolius</t>
  </si>
  <si>
    <t>Philadelphus pubescens var. verrucosus</t>
  </si>
  <si>
    <t>Phlox bifida</t>
  </si>
  <si>
    <t>cleft phlox</t>
  </si>
  <si>
    <t>Phlox bifida ssp. bifida</t>
  </si>
  <si>
    <t>Phlox bifida ssp. arkansana</t>
  </si>
  <si>
    <t>Phlox bifida var. glandifera</t>
  </si>
  <si>
    <t>Photinia melanocarpa</t>
  </si>
  <si>
    <t>black chokeberry</t>
  </si>
  <si>
    <t>Aronia arbutifolia var. nigra</t>
  </si>
  <si>
    <t>Aronia melanocarpa</t>
  </si>
  <si>
    <t>Aronia nigra</t>
  </si>
  <si>
    <t>Pyrus arbutifolia var. nigra</t>
  </si>
  <si>
    <t>Pyrus melanocarpa</t>
  </si>
  <si>
    <t>Sorbus melanocarpa</t>
  </si>
  <si>
    <t>Physocarpus opulifolius</t>
  </si>
  <si>
    <t>common ninebark</t>
  </si>
  <si>
    <t>Physocarpus opulifolius var. intermedius</t>
  </si>
  <si>
    <t>Atlantic ninebark</t>
  </si>
  <si>
    <t>Opulaster intermedius</t>
  </si>
  <si>
    <t>Physocarpus intermedius</t>
  </si>
  <si>
    <t>Physocarpus opulifolius var. opulifolius</t>
  </si>
  <si>
    <t>Opulaster alabamensis</t>
  </si>
  <si>
    <t>Opulaster australis</t>
  </si>
  <si>
    <t>Opulaster opulifolius</t>
  </si>
  <si>
    <t>Opulaster stellatus</t>
  </si>
  <si>
    <t>Physocarpus opulifolius f. nanus</t>
  </si>
  <si>
    <t>Spiraea opulifolia</t>
  </si>
  <si>
    <t>Pinus strobus</t>
  </si>
  <si>
    <t>eastern white pine</t>
  </si>
  <si>
    <t>Strobus strobus</t>
  </si>
  <si>
    <t>Platanus occidentalis</t>
  </si>
  <si>
    <t>American sycamore</t>
  </si>
  <si>
    <t>Platanus occidentalis var. glabrata</t>
  </si>
  <si>
    <t>Populus balsamifera</t>
  </si>
  <si>
    <t>balsam poplar</t>
  </si>
  <si>
    <t>Populus balsamifera ssp. balsamifera</t>
  </si>
  <si>
    <t>Populus balsamifera var. candicans</t>
  </si>
  <si>
    <t>Populus balsamifera var. fernaldiana</t>
  </si>
  <si>
    <t>Populus balsamifera var. lanceolata</t>
  </si>
  <si>
    <t>Populus balsamifera var. michauxii</t>
  </si>
  <si>
    <t>Populus balsamifera var. subcordata</t>
  </si>
  <si>
    <t>Populus candicans</t>
  </si>
  <si>
    <t>Populus michauxii</t>
  </si>
  <si>
    <t>Populus tacamahaca</t>
  </si>
  <si>
    <t>Populus tacamahaca var. candicans</t>
  </si>
  <si>
    <t>Populus tacamahaca var. lanceolata</t>
  </si>
  <si>
    <t>Populus tacamahaca var. michauxii</t>
  </si>
  <si>
    <t>Populus ×canadensis</t>
  </si>
  <si>
    <t>Carolina poplar</t>
  </si>
  <si>
    <t>Populus canadensis var. eugenei</t>
  </si>
  <si>
    <t>Populus canadensis var. serotina</t>
  </si>
  <si>
    <t>Populus ×eugenei</t>
  </si>
  <si>
    <t>Populus euramericana</t>
  </si>
  <si>
    <t>Populus ×robusta</t>
  </si>
  <si>
    <t>Populus deltoides</t>
  </si>
  <si>
    <t>eastern cottonwood</t>
  </si>
  <si>
    <t>Populus deltoides ssp. deltoides</t>
  </si>
  <si>
    <t>Populus angulata</t>
  </si>
  <si>
    <t>Populus angulata var. missouriensis</t>
  </si>
  <si>
    <t>Populus balsamifera var. missouriensis</t>
  </si>
  <si>
    <t>Populus balsamifera var. pilosa</t>
  </si>
  <si>
    <t>Populus balsamifera var. virginiana</t>
  </si>
  <si>
    <t>Populus canadensis var. virginiana</t>
  </si>
  <si>
    <t>Populus deltoides var. angulata</t>
  </si>
  <si>
    <t>Populus deltoides var. missouriensis</t>
  </si>
  <si>
    <t>Populus deltoides var. pilosa</t>
  </si>
  <si>
    <t>Populus deltoides var. virginiana</t>
  </si>
  <si>
    <t>Populus nigra var. virginiana</t>
  </si>
  <si>
    <t>Populus palmeri</t>
  </si>
  <si>
    <t>Populus virginiana</t>
  </si>
  <si>
    <t>Populus virginiana var. pilosa</t>
  </si>
  <si>
    <t>Populus deltoides ssp. monilifera</t>
  </si>
  <si>
    <t>plains cottonwood</t>
  </si>
  <si>
    <t>Monilistus monilifera</t>
  </si>
  <si>
    <t>Populus besseyana</t>
  </si>
  <si>
    <t>Populus deltoides var. occidentalis</t>
  </si>
  <si>
    <t>Populus monilifera</t>
  </si>
  <si>
    <t>Populus occidentalis</t>
  </si>
  <si>
    <t>Populus sargentii</t>
  </si>
  <si>
    <t>Populus sargentii var. texana</t>
  </si>
  <si>
    <t>Populus texana</t>
  </si>
  <si>
    <t>Populus grandidentata</t>
  </si>
  <si>
    <t>bigtooth aspen</t>
  </si>
  <si>
    <t>Populus grandidentata var. angustata</t>
  </si>
  <si>
    <t>Populus grandidentata var. meridionalis</t>
  </si>
  <si>
    <t>Populus grandidentata var. subcordata</t>
  </si>
  <si>
    <t>Populus ×jackii</t>
  </si>
  <si>
    <t>balm-of-Gilead</t>
  </si>
  <si>
    <t>Populus ×andrewsii</t>
  </si>
  <si>
    <t>Populus ×bernardii</t>
  </si>
  <si>
    <t>Populus ×dutillyi</t>
  </si>
  <si>
    <t>Populus ×generosa</t>
  </si>
  <si>
    <t>Populus ×gileadensis</t>
  </si>
  <si>
    <t>Populus manitobensis</t>
  </si>
  <si>
    <t>Populus ×rouleauiana</t>
  </si>
  <si>
    <t>Populus tremuloides</t>
  </si>
  <si>
    <t>quaking aspen</t>
  </si>
  <si>
    <t>Populus aurea</t>
  </si>
  <si>
    <t>Populus cercidiphylla</t>
  </si>
  <si>
    <t>Populus ×polygonifolia</t>
  </si>
  <si>
    <t>Populus tremula ssp. tremuloides</t>
  </si>
  <si>
    <t>Populus tremuloides var. aurea</t>
  </si>
  <si>
    <t>Populus tremuloides var. cercidiphylla</t>
  </si>
  <si>
    <t>Populus tremuloides var. intermedia</t>
  </si>
  <si>
    <t>Populus tremuloides var. magnifica</t>
  </si>
  <si>
    <t>Populus tremuloides var. rhomboidea</t>
  </si>
  <si>
    <t>Populus tremuloides var. vancouveriana</t>
  </si>
  <si>
    <t>Populus vancouveriana</t>
  </si>
  <si>
    <t>Prunus americana</t>
  </si>
  <si>
    <t>American plum</t>
  </si>
  <si>
    <t>Prunus hortulana</t>
  </si>
  <si>
    <t>hortulan plum</t>
  </si>
  <si>
    <t>Prunus hortulana var. mineri</t>
  </si>
  <si>
    <t>Prunus mexicana</t>
  </si>
  <si>
    <t>Mexican plum</t>
  </si>
  <si>
    <t>Prunus americana var. lanata</t>
  </si>
  <si>
    <t>Prunus lanata</t>
  </si>
  <si>
    <t>Prunus mexicana var. flutonensis</t>
  </si>
  <si>
    <t>Prunus mexicana var. polyandra</t>
  </si>
  <si>
    <t>Prunus pensylvanica var. mollis</t>
  </si>
  <si>
    <t>Prunus nigra</t>
  </si>
  <si>
    <t>Canadian plum</t>
  </si>
  <si>
    <t>Prunus americana var. nigra</t>
  </si>
  <si>
    <t>Prunus pensylvanica</t>
  </si>
  <si>
    <t>pin cherry</t>
  </si>
  <si>
    <t>Prunus pensylvanica var. pensylvanica</t>
  </si>
  <si>
    <t>Cerasus pensylvanica</t>
  </si>
  <si>
    <t>Prunus pumila</t>
  </si>
  <si>
    <t>sandcherry</t>
  </si>
  <si>
    <t>Prunus pumila var. besseyi</t>
  </si>
  <si>
    <t>western sandcherry</t>
  </si>
  <si>
    <t>Cerasus pumila ssp. besseyi</t>
  </si>
  <si>
    <t>Prunus besseyi</t>
  </si>
  <si>
    <t>Prunus pumila ssp. besseyi</t>
  </si>
  <si>
    <t>Prunus pumila var. pumila</t>
  </si>
  <si>
    <t>Great Lakes sandcherry</t>
  </si>
  <si>
    <t>Cerasus pumila</t>
  </si>
  <si>
    <t>Prunus serotina</t>
  </si>
  <si>
    <t>black cherry</t>
  </si>
  <si>
    <t>Prunus serotina var. serotina</t>
  </si>
  <si>
    <t>Prunus virginiana</t>
  </si>
  <si>
    <t>chokecherry</t>
  </si>
  <si>
    <t>Prunus virginiana var. demissa</t>
  </si>
  <si>
    <t>western chokecherry</t>
  </si>
  <si>
    <t>Prunus demissa</t>
  </si>
  <si>
    <t>Prunus virginiana ssp. demissa</t>
  </si>
  <si>
    <t>Ptelea trifoliata</t>
  </si>
  <si>
    <t>common hoptree</t>
  </si>
  <si>
    <t>Ptelea trifoliata ssp. trifoliata</t>
  </si>
  <si>
    <t>Ptelea trifoliata ssp. trifoliata var. trifoliata</t>
  </si>
  <si>
    <t>Ptelea baldwinii</t>
  </si>
  <si>
    <t>Ptelea microcarpa</t>
  </si>
  <si>
    <t>Ptelea serrata</t>
  </si>
  <si>
    <t>Ptelea trifoliata var. deamiana</t>
  </si>
  <si>
    <t>Pyrola asarifolia</t>
  </si>
  <si>
    <t>liverleaf wintergreen</t>
  </si>
  <si>
    <t>Pyrola asarifolia ssp. asarifolia</t>
  </si>
  <si>
    <t>Pyrola asarifolia var. incarnata</t>
  </si>
  <si>
    <t>Pyrola asarifolia var. ovata</t>
  </si>
  <si>
    <t>Pyrola asarifolia var. purpurea</t>
  </si>
  <si>
    <t>Pyrola californica</t>
  </si>
  <si>
    <t>Pyrola elata</t>
  </si>
  <si>
    <t>Pyrola rotundifolia ssp. asarifolia</t>
  </si>
  <si>
    <t>Pyrola uliginosa</t>
  </si>
  <si>
    <t>Pyrola uliginosa var. gracilis</t>
  </si>
  <si>
    <t>Pyrola elliptica</t>
  </si>
  <si>
    <t>waxflower shinleaf</t>
  </si>
  <si>
    <t>Pyrola compacta</t>
  </si>
  <si>
    <t>Quercus alba</t>
  </si>
  <si>
    <t>white oak</t>
  </si>
  <si>
    <t>Quercus alba var. subcaerulea</t>
  </si>
  <si>
    <t>Quercus alba var. subflavea</t>
  </si>
  <si>
    <t>Quercus ×bebbiana</t>
  </si>
  <si>
    <t>Quercus bicolor</t>
  </si>
  <si>
    <t>swamp white oak</t>
  </si>
  <si>
    <t>Quercus ×bushii</t>
  </si>
  <si>
    <t>Quercus ×deamii</t>
  </si>
  <si>
    <t>Quercus ×fallax</t>
  </si>
  <si>
    <t>Quercus ellipsoidalis</t>
  </si>
  <si>
    <t>northern pin oak</t>
  </si>
  <si>
    <t>Quercus ×exacta</t>
  </si>
  <si>
    <t>Quercus ×fernowii</t>
  </si>
  <si>
    <t>Quercus ×hawkinsiae</t>
  </si>
  <si>
    <t>Quercus ×porteri</t>
  </si>
  <si>
    <t>Quercus imbricaria</t>
  </si>
  <si>
    <t>shingle oak</t>
  </si>
  <si>
    <t>Quercus ×leana</t>
  </si>
  <si>
    <t>Quercus macrocarpa</t>
  </si>
  <si>
    <t>bur oak</t>
  </si>
  <si>
    <t>Quercus macrocarpa var. macrocarpa</t>
  </si>
  <si>
    <t>Quercus macrocarpa var. oliviformis</t>
  </si>
  <si>
    <t>Quercus marilandica</t>
  </si>
  <si>
    <t>blackjack oak</t>
  </si>
  <si>
    <t>Quercus marilandica var. marilandica</t>
  </si>
  <si>
    <t>Quercus nigra var. marilandica</t>
  </si>
  <si>
    <t>Quercus muehlenbergii</t>
  </si>
  <si>
    <t>chinkapin oak</t>
  </si>
  <si>
    <t>Quercus acuminata</t>
  </si>
  <si>
    <t>Quercus alexanderi</t>
  </si>
  <si>
    <t>Quercus prinoides</t>
  </si>
  <si>
    <t>Quercus prinoides var. acuminata</t>
  </si>
  <si>
    <t>Quercus ×palaeolithicola</t>
  </si>
  <si>
    <t>Quercus palustris</t>
  </si>
  <si>
    <t>pin oak</t>
  </si>
  <si>
    <t>dwarf chinkapin oak</t>
  </si>
  <si>
    <t>Quercus prinoides var. rufescens</t>
  </si>
  <si>
    <t>Quercus rubra</t>
  </si>
  <si>
    <t>northern red oak</t>
  </si>
  <si>
    <t>Quercus rubra var. ambigua</t>
  </si>
  <si>
    <t>Quercus borealis</t>
  </si>
  <si>
    <t>Quercus rubra var. borealis</t>
  </si>
  <si>
    <t>Quercus rubra var. rubra</t>
  </si>
  <si>
    <t>Quercus borealis var. maxima</t>
  </si>
  <si>
    <t>Quercus maxima</t>
  </si>
  <si>
    <t>Quercus ×schuettei</t>
  </si>
  <si>
    <t>Quercus ×hillii</t>
  </si>
  <si>
    <t>Quercus stellata</t>
  </si>
  <si>
    <t>post oak</t>
  </si>
  <si>
    <t>Quercus stellata var. attenuata</t>
  </si>
  <si>
    <t>Quercus stellata var. parviloba</t>
  </si>
  <si>
    <t>Quercus velutina</t>
  </si>
  <si>
    <t>black oak</t>
  </si>
  <si>
    <t>Quercus velutina var. missouriensis</t>
  </si>
  <si>
    <t>Rhamnus alnifolia</t>
  </si>
  <si>
    <t>alderleaf buckthorn</t>
  </si>
  <si>
    <t>Rhamnus lanceolata</t>
  </si>
  <si>
    <t>lanceleaf buckthorn</t>
  </si>
  <si>
    <t>Rhamnus lanceolata ssp. glabrata</t>
  </si>
  <si>
    <t>Rhamnus lanceolata var. glabrata</t>
  </si>
  <si>
    <t>Rhamnus lanceolata ssp. lanceolata</t>
  </si>
  <si>
    <t>Rhus aromatica</t>
  </si>
  <si>
    <t>fragrant sumac</t>
  </si>
  <si>
    <t>Rhus aromatica var. aromatica</t>
  </si>
  <si>
    <t>Rhus aromatica var. illinoensis</t>
  </si>
  <si>
    <t>Schmaltzia crenata</t>
  </si>
  <si>
    <t>Rhus aromatica var. serotina</t>
  </si>
  <si>
    <t>Rhus aromatica ssp. serotina</t>
  </si>
  <si>
    <t>Rhus trilobata var. serotina</t>
  </si>
  <si>
    <t>Rhus copallinum</t>
  </si>
  <si>
    <t>winged sumac</t>
  </si>
  <si>
    <t>Rhus copallina</t>
  </si>
  <si>
    <t>Rhus copallinum var. latifolia</t>
  </si>
  <si>
    <t>Rhus copallina var. latifolia</t>
  </si>
  <si>
    <t>Rhus glabra</t>
  </si>
  <si>
    <t>smooth sumac</t>
  </si>
  <si>
    <t>Rhus borealis</t>
  </si>
  <si>
    <t>Rhus calophylla</t>
  </si>
  <si>
    <t>Rhus glabra var. cismontana</t>
  </si>
  <si>
    <t>Rhus glabra var. laciniata</t>
  </si>
  <si>
    <t>Rhus glabra var. occidentalis</t>
  </si>
  <si>
    <t>Rhus trilobata</t>
  </si>
  <si>
    <t>skunkbush sumac</t>
  </si>
  <si>
    <t>Rhus trilobata var. trilobata</t>
  </si>
  <si>
    <t>Rhus aromatica ssp. flabelliformis</t>
  </si>
  <si>
    <t>Rhus aromatica ssp. trilobata</t>
  </si>
  <si>
    <t>Rhus aromatica var. flabelliformis</t>
  </si>
  <si>
    <t>Rhus aromatica var. trilobata</t>
  </si>
  <si>
    <t>Schmaltzia trilobata</t>
  </si>
  <si>
    <t>Rhus typhina</t>
  </si>
  <si>
    <t>staghorn sumac</t>
  </si>
  <si>
    <t>Datisca hirta</t>
  </si>
  <si>
    <t>Rhus hirta</t>
  </si>
  <si>
    <t>Rhus typhina var. laciniata</t>
  </si>
  <si>
    <t>Ribes americanum</t>
  </si>
  <si>
    <t>American black currant</t>
  </si>
  <si>
    <t>Ribes aureum</t>
  </si>
  <si>
    <t>golden currant</t>
  </si>
  <si>
    <t>Ribes aureum var. villosum</t>
  </si>
  <si>
    <t>Ribes odoratum</t>
  </si>
  <si>
    <t>Ribes cynosbati</t>
  </si>
  <si>
    <t>eastern prickly gooseberry</t>
  </si>
  <si>
    <t>Grossularia cynosbati</t>
  </si>
  <si>
    <t>Ribes cynosbati var. atrox</t>
  </si>
  <si>
    <t>Ribes cynosbati var. glabratum</t>
  </si>
  <si>
    <t>Ribes cynosbati var. inerme</t>
  </si>
  <si>
    <t>Ribes huronense</t>
  </si>
  <si>
    <t>Ribes hirtellum</t>
  </si>
  <si>
    <t>hairystem gooseberry</t>
  </si>
  <si>
    <t>Grossularia hirtella</t>
  </si>
  <si>
    <t>Ribes hirtellum var. calcicola</t>
  </si>
  <si>
    <t>Ribes hirtellum var. saxosum</t>
  </si>
  <si>
    <t>Ribes oxyacanthoides var. calcicola</t>
  </si>
  <si>
    <t>Ribes oxyacanthoides var. hirtellum</t>
  </si>
  <si>
    <t>Ribes oxyacanthoides var. saxosum</t>
  </si>
  <si>
    <t>Ribes hudsonianum</t>
  </si>
  <si>
    <t>northern black currant</t>
  </si>
  <si>
    <t>Ribes hudsonianum var. hudsonianum</t>
  </si>
  <si>
    <t>Hudson Bay currant</t>
  </si>
  <si>
    <t>Ribes missouriense</t>
  </si>
  <si>
    <t>Missouri gooseberry</t>
  </si>
  <si>
    <t>Grossularia missouriensis</t>
  </si>
  <si>
    <t>Ribes missouriense var. ozarkanum</t>
  </si>
  <si>
    <t>Robinia hispida</t>
  </si>
  <si>
    <t>bristly locust</t>
  </si>
  <si>
    <t>Robinia hispida var. fertilis</t>
  </si>
  <si>
    <t>Robinia fertilis</t>
  </si>
  <si>
    <t>Robinia grandiflora</t>
  </si>
  <si>
    <t>Robinia pedunculata</t>
  </si>
  <si>
    <t>Robinia hispida var. hispida</t>
  </si>
  <si>
    <t>Robinia pallida</t>
  </si>
  <si>
    <t>Robinia speciosa</t>
  </si>
  <si>
    <t>Robinia pseudoacacia</t>
  </si>
  <si>
    <t>black locust</t>
  </si>
  <si>
    <t>Robinia pseudoacacia var. pyramidalis</t>
  </si>
  <si>
    <t>Robinia pseudoacacia var. rectissima</t>
  </si>
  <si>
    <t>Robinia pseudoacacia f. inermis</t>
  </si>
  <si>
    <t>Rosa acicularis</t>
  </si>
  <si>
    <t>prickly rose</t>
  </si>
  <si>
    <t>Rosa acicularis ssp. sayi</t>
  </si>
  <si>
    <t>Rosa acicularis var. bourgeauiana</t>
  </si>
  <si>
    <t>Rosa acicularis var. sayana</t>
  </si>
  <si>
    <t>Rosa bourgeauiana</t>
  </si>
  <si>
    <t>Rosa collaris</t>
  </si>
  <si>
    <t>Rosa engelmannii</t>
  </si>
  <si>
    <t>Rosa sayi</t>
  </si>
  <si>
    <t>Rosa arkansana</t>
  </si>
  <si>
    <t>prairie rose</t>
  </si>
  <si>
    <t>Rosa arkansana var. suffulta</t>
  </si>
  <si>
    <t>Rosa alcea</t>
  </si>
  <si>
    <t>Rosa conjuncta</t>
  </si>
  <si>
    <t>Rosa pratincola</t>
  </si>
  <si>
    <t>Rosa suffulta</t>
  </si>
  <si>
    <t>Rosa suffulta var. relicta</t>
  </si>
  <si>
    <t>Rosa blanda</t>
  </si>
  <si>
    <t>smooth rose</t>
  </si>
  <si>
    <t>Rosa blanda var. blanda</t>
  </si>
  <si>
    <t>Rosa blanda var. carpohispida</t>
  </si>
  <si>
    <t>Rosa blanda var. glandulosa</t>
  </si>
  <si>
    <t>Rosa rousseauiorum</t>
  </si>
  <si>
    <t>Rosa subblanda</t>
  </si>
  <si>
    <t>Rosa williamsii</t>
  </si>
  <si>
    <t>Rosa carolina</t>
  </si>
  <si>
    <t>Carolina rose</t>
  </si>
  <si>
    <t>Rosa carolina var. carolina</t>
  </si>
  <si>
    <t>Rosa carolina var. deamii</t>
  </si>
  <si>
    <t>Rosa carolina var. glandulosa</t>
  </si>
  <si>
    <t>Rosa carolina var. grandiflora</t>
  </si>
  <si>
    <t>Rosa carolina var. lyonii</t>
  </si>
  <si>
    <t>Rosa carolina var. obovata</t>
  </si>
  <si>
    <t>Rosa carolina var. sabulosa</t>
  </si>
  <si>
    <t>Rosa carolina var. villosa</t>
  </si>
  <si>
    <t>Rosa lyonii</t>
  </si>
  <si>
    <t>Rosa palmeri</t>
  </si>
  <si>
    <t>Rosa serrulata</t>
  </si>
  <si>
    <t>Rosa subserrulata</t>
  </si>
  <si>
    <t>Rosa texarkana</t>
  </si>
  <si>
    <t>Rosa ×dulcissima</t>
  </si>
  <si>
    <t>Rosa palustris</t>
  </si>
  <si>
    <t>swamp rose</t>
  </si>
  <si>
    <t>Rosa floridana</t>
  </si>
  <si>
    <t>Rosa lancifolia</t>
  </si>
  <si>
    <t>Rosa palustris var. dasistema</t>
  </si>
  <si>
    <t>Rosa ×rudiuscula</t>
  </si>
  <si>
    <t>Rosa setigera</t>
  </si>
  <si>
    <t>climbing rose</t>
  </si>
  <si>
    <t>Rosa setigera var. tomentosa</t>
  </si>
  <si>
    <t>Rosa woodsii</t>
  </si>
  <si>
    <t>Woods' rose</t>
  </si>
  <si>
    <t>Rosa woodsii var. woodsii</t>
  </si>
  <si>
    <t>Rosa adenosepala</t>
  </si>
  <si>
    <t>Rosa fendleri</t>
  </si>
  <si>
    <t>Rosa hypoleuca</t>
  </si>
  <si>
    <t>Rosa macounii</t>
  </si>
  <si>
    <t>Rosa neomexicana</t>
  </si>
  <si>
    <t>Rosa standleyi</t>
  </si>
  <si>
    <t>Rosa terrens</t>
  </si>
  <si>
    <t>Rosa woodsii var. adenosepala</t>
  </si>
  <si>
    <t>Rosa woodsii var. fendleri</t>
  </si>
  <si>
    <t>Rosa woodsii var. hypoleuca</t>
  </si>
  <si>
    <t>Rosa woodsii var. macounii</t>
  </si>
  <si>
    <t>Rubus aboriginum</t>
  </si>
  <si>
    <t>garden dewberry</t>
  </si>
  <si>
    <t>Rubus almus</t>
  </si>
  <si>
    <t>Rubus austrinus</t>
  </si>
  <si>
    <t>Rubus bollianus</t>
  </si>
  <si>
    <t>Rubus clair-brownii</t>
  </si>
  <si>
    <t>Rubus decor</t>
  </si>
  <si>
    <t>Rubus flagellaris var. almus</t>
  </si>
  <si>
    <t>Rubus foliaceus</t>
  </si>
  <si>
    <t>Rubus ignarus</t>
  </si>
  <si>
    <t>Rubus ricei</t>
  </si>
  <si>
    <t>Rubus allegheniensis</t>
  </si>
  <si>
    <t>Allegheny blackberry</t>
  </si>
  <si>
    <t>Rubus allegheniensis var. allegheniensis</t>
  </si>
  <si>
    <t>Rubus allegheniensis var. plausus</t>
  </si>
  <si>
    <t>Rubus allegheniensis var. populifolius</t>
  </si>
  <si>
    <t>Rubus attractus</t>
  </si>
  <si>
    <t>Rubus auroralis</t>
  </si>
  <si>
    <t>Rubus fissidens</t>
  </si>
  <si>
    <t>Rubus longissimus</t>
  </si>
  <si>
    <t>Rubus nigrobaccus</t>
  </si>
  <si>
    <t>Rubus nuperus</t>
  </si>
  <si>
    <t>Rubus pennus</t>
  </si>
  <si>
    <t>Rubus rappii</t>
  </si>
  <si>
    <t>Rubus separ</t>
  </si>
  <si>
    <t>Rubus alumnus</t>
  </si>
  <si>
    <t>oldfield blackberry</t>
  </si>
  <si>
    <t>Rubus apianus</t>
  </si>
  <si>
    <t>Rubus barbarus</t>
  </si>
  <si>
    <t>Rubus campestris</t>
  </si>
  <si>
    <t>Rubus corei</t>
  </si>
  <si>
    <t>Rubus facetus</t>
  </si>
  <si>
    <t>Rubus fernaldianus</t>
  </si>
  <si>
    <t>Rubus impos</t>
  </si>
  <si>
    <t>Rubus independens</t>
  </si>
  <si>
    <t>Rubus licitus</t>
  </si>
  <si>
    <t>Rubus miriflorus</t>
  </si>
  <si>
    <t>Rubus paulus</t>
  </si>
  <si>
    <t>Rubus tennesseeanus</t>
  </si>
  <si>
    <t>Rubus bellobatus</t>
  </si>
  <si>
    <t>Kittatinny blackberry</t>
  </si>
  <si>
    <t>Rubus fecundus</t>
  </si>
  <si>
    <t>DC dewberry</t>
  </si>
  <si>
    <t>Rubus celer</t>
  </si>
  <si>
    <t>Rubus vixalacer</t>
  </si>
  <si>
    <t>Rubus flagellaris</t>
  </si>
  <si>
    <t>northern dewberry</t>
  </si>
  <si>
    <t>Rubus alacer</t>
  </si>
  <si>
    <t>Rubus arundelanus</t>
  </si>
  <si>
    <t>Rubus arundelanus var. jeckylanus</t>
  </si>
  <si>
    <t>Rubus ascendens</t>
  </si>
  <si>
    <t>Rubus ashei</t>
  </si>
  <si>
    <t>Rubus bonus</t>
  </si>
  <si>
    <t>Rubus camurus</t>
  </si>
  <si>
    <t>Rubus clausenii</t>
  </si>
  <si>
    <t>Rubus connixus</t>
  </si>
  <si>
    <t>Rubus cordialis</t>
  </si>
  <si>
    <t>Rubus dissitiflorus</t>
  </si>
  <si>
    <t>Rubus enslenii</t>
  </si>
  <si>
    <t>Rubus exemptus</t>
  </si>
  <si>
    <t>Rubus frustratus</t>
  </si>
  <si>
    <t>Rubus geophilus</t>
  </si>
  <si>
    <t>Rubus jaysmithii var. angustior</t>
  </si>
  <si>
    <t>Rubus longipes</t>
  </si>
  <si>
    <t>Rubus maltei</t>
  </si>
  <si>
    <t>Rubus neonefrens</t>
  </si>
  <si>
    <t>Rubus occultus</t>
  </si>
  <si>
    <t>Rubus procumbens</t>
  </si>
  <si>
    <t>Rubus sailori</t>
  </si>
  <si>
    <t>Rubus serenus</t>
  </si>
  <si>
    <t>Rubus subuniflorus</t>
  </si>
  <si>
    <t>Rubus tetricus</t>
  </si>
  <si>
    <t>Rubus tracyi</t>
  </si>
  <si>
    <t>Rubus urbanianus</t>
  </si>
  <si>
    <t>Rubus villosus</t>
  </si>
  <si>
    <t>Rubus frondosus</t>
  </si>
  <si>
    <t>yankee blackberry</t>
  </si>
  <si>
    <t>Rubus brainerdii</t>
  </si>
  <si>
    <t>Rubus cardianus</t>
  </si>
  <si>
    <t>Rubus difformis</t>
  </si>
  <si>
    <t>Rubus eriensis</t>
  </si>
  <si>
    <t>Rubus heterogeneous</t>
  </si>
  <si>
    <t>Rubus nescius</t>
  </si>
  <si>
    <t>Rubus pauxillus</t>
  </si>
  <si>
    <t>Rubus pensilvanicus var. frondosus</t>
  </si>
  <si>
    <t>Rubus pratensis</t>
  </si>
  <si>
    <t>Rubus sativus</t>
  </si>
  <si>
    <t>Rubus uniquus</t>
  </si>
  <si>
    <t>Rubus wahlii</t>
  </si>
  <si>
    <t>Rubus hispidus</t>
  </si>
  <si>
    <t>bristly dewberry</t>
  </si>
  <si>
    <t>Rubus hispidus var. cupulifer</t>
  </si>
  <si>
    <t>Rubus hispidus var. obovalis</t>
  </si>
  <si>
    <t>Rubus sempervirens</t>
  </si>
  <si>
    <t>Rubus idaeus</t>
  </si>
  <si>
    <t>American red raspberry</t>
  </si>
  <si>
    <t>Rubus idaeus ssp. strigosus</t>
  </si>
  <si>
    <t>grayleaf red raspberry</t>
  </si>
  <si>
    <t>Rubus carolinianus</t>
  </si>
  <si>
    <t>Rubus idaeus ssp. melanolasius</t>
  </si>
  <si>
    <t>Rubus idaeus ssp. sachalinensis</t>
  </si>
  <si>
    <t>Rubus idaeus var. aculeatissimus</t>
  </si>
  <si>
    <t>Rubus idaeus var. canadensis</t>
  </si>
  <si>
    <t>Rubus idaeus var. gracilipes</t>
  </si>
  <si>
    <t>Rubus idaeus var. melanolasius</t>
  </si>
  <si>
    <t>Rubus idaeus var. melanotrachys</t>
  </si>
  <si>
    <t>Rubus idaeus var. strigosus</t>
  </si>
  <si>
    <t>Rubus melanolasius</t>
  </si>
  <si>
    <t>Rubus neglectus</t>
  </si>
  <si>
    <t>Rubus strigosus</t>
  </si>
  <si>
    <t>Rubus strigosus var. acalyphaceus</t>
  </si>
  <si>
    <t>Rubus strigosus var. arizonicus</t>
  </si>
  <si>
    <t>Rubus strigosus var. canadensis</t>
  </si>
  <si>
    <t>Rubus ithacanus</t>
  </si>
  <si>
    <t>Ithaca blackberry</t>
  </si>
  <si>
    <t>Rubus densipubens</t>
  </si>
  <si>
    <t>Rubus fandus</t>
  </si>
  <si>
    <t>Rubus folioflorus</t>
  </si>
  <si>
    <t>Rubus pohlii</t>
  </si>
  <si>
    <t>Rubus satis</t>
  </si>
  <si>
    <t>Rubus laudatus</t>
  </si>
  <si>
    <t>plains blackberry</t>
  </si>
  <si>
    <t>Rubus ablatus</t>
  </si>
  <si>
    <t>Rubus condensiflorus</t>
  </si>
  <si>
    <t>Rubus congruus</t>
  </si>
  <si>
    <t>Rubus cupressorum</t>
  </si>
  <si>
    <t>Rubus gattingeri</t>
  </si>
  <si>
    <t>Rubus interioris</t>
  </si>
  <si>
    <t>Rubus par</t>
  </si>
  <si>
    <t>Rubus praepes</t>
  </si>
  <si>
    <t>Rubus pulchriflorus</t>
  </si>
  <si>
    <t>Rubus schneckii</t>
  </si>
  <si>
    <t>Rubus senilis</t>
  </si>
  <si>
    <t>Rubus subtentus</t>
  </si>
  <si>
    <t>Rubus subtractus</t>
  </si>
  <si>
    <t>Rubus leviculus</t>
  </si>
  <si>
    <t>bottomland dewberry</t>
  </si>
  <si>
    <t>Rubus census</t>
  </si>
  <si>
    <t>Rubus meracus</t>
  </si>
  <si>
    <t>dryslope dewberry</t>
  </si>
  <si>
    <t>Rubus tantulus</t>
  </si>
  <si>
    <t>Rubus missouricus</t>
  </si>
  <si>
    <t>Missouri dewberry</t>
  </si>
  <si>
    <t>Rubus clandestinus</t>
  </si>
  <si>
    <t>Rubus jejunus</t>
  </si>
  <si>
    <t>Rubus mediocris</t>
  </si>
  <si>
    <t>Rubus offectus</t>
  </si>
  <si>
    <t>Rubus schneideri</t>
  </si>
  <si>
    <t>Rubus subsolanus</t>
  </si>
  <si>
    <t>Rubus occidentalis</t>
  </si>
  <si>
    <t>black raspberry</t>
  </si>
  <si>
    <t>Rubus occidentalis var. pallidus</t>
  </si>
  <si>
    <t>Rubus parviflorus</t>
  </si>
  <si>
    <t>thimbleberry</t>
  </si>
  <si>
    <t>Rubus parviflorus var. parviflorus</t>
  </si>
  <si>
    <t>Rubacer parviflorus</t>
  </si>
  <si>
    <t>Rubus parviflorus var. bifarius</t>
  </si>
  <si>
    <t>Rubus parviflorus var. grandiflorus</t>
  </si>
  <si>
    <t>Rubus parviflorus var. heteradenius</t>
  </si>
  <si>
    <t>Rubus parviflorus var. hypomalacus</t>
  </si>
  <si>
    <t>Rubus parviflorus var. parvifolius</t>
  </si>
  <si>
    <t>Rubus pergratus</t>
  </si>
  <si>
    <t>upland blackberry</t>
  </si>
  <si>
    <t>Rubus amnicola</t>
  </si>
  <si>
    <t>Rubus avipes</t>
  </si>
  <si>
    <t>Rubus bractealis</t>
  </si>
  <si>
    <t>Rubus orarius</t>
  </si>
  <si>
    <t>Rubus pergratus var. terrae-novae</t>
  </si>
  <si>
    <t>Rubus plicatifolius</t>
  </si>
  <si>
    <t>plaitleaf dewberry</t>
  </si>
  <si>
    <t>Rubus armatus</t>
  </si>
  <si>
    <t>Rubus botruosus</t>
  </si>
  <si>
    <t>Rubus bretonis</t>
  </si>
  <si>
    <t>Rubus brevipedalis</t>
  </si>
  <si>
    <t>Rubus coloniatus</t>
  </si>
  <si>
    <t>Rubus exutus</t>
  </si>
  <si>
    <t>Rubus obsessus var. unilaris</t>
  </si>
  <si>
    <t>Rubus pauper</t>
  </si>
  <si>
    <t>Rubus polulus</t>
  </si>
  <si>
    <t>Rubus prior</t>
  </si>
  <si>
    <t>Rubus problematicus</t>
  </si>
  <si>
    <t>Rubus pronus</t>
  </si>
  <si>
    <t>Rubus recurvicaulis var. armatus</t>
  </si>
  <si>
    <t>Rubus rhodinsulanus</t>
  </si>
  <si>
    <t>Rubus rosendahlii</t>
  </si>
  <si>
    <t>Rubus semierectus</t>
  </si>
  <si>
    <t>Rubus usus</t>
  </si>
  <si>
    <t>Rubus varus</t>
  </si>
  <si>
    <t>Rubus victorinii</t>
  </si>
  <si>
    <t>Rubus recurvans</t>
  </si>
  <si>
    <t>recurved blackberry</t>
  </si>
  <si>
    <t>Rubus cauliflorus</t>
  </si>
  <si>
    <t>Rubus limulus</t>
  </si>
  <si>
    <t>Rubus perfoliosus</t>
  </si>
  <si>
    <t>Rubus pityophilus</t>
  </si>
  <si>
    <t>Rubus recurvans var. subrecurvans</t>
  </si>
  <si>
    <t>Rubus wiegandii</t>
  </si>
  <si>
    <t>Rubus roribaccus</t>
  </si>
  <si>
    <t>Lucretia dewberry</t>
  </si>
  <si>
    <t>Rubus flagellaris var. occidualis</t>
  </si>
  <si>
    <t>Rubus imperiorum</t>
  </si>
  <si>
    <t>Rubus injunctus</t>
  </si>
  <si>
    <t>Rubus occidualis</t>
  </si>
  <si>
    <t>Rubus pauperrimus</t>
  </si>
  <si>
    <t>Rubus pluralis</t>
  </si>
  <si>
    <t>Rubus temerarius</t>
  </si>
  <si>
    <t>Rubus rosa</t>
  </si>
  <si>
    <t>rose blackberry</t>
  </si>
  <si>
    <t>Rubus semisetosus</t>
  </si>
  <si>
    <t>swamp blackberry</t>
  </si>
  <si>
    <t>Rubus benneri</t>
  </si>
  <si>
    <t>Rubus steelei</t>
  </si>
  <si>
    <t>Steele's dewberry</t>
  </si>
  <si>
    <t>Rubus currulis</t>
  </si>
  <si>
    <t>Rubus stipulatus</t>
  </si>
  <si>
    <t>Big Horseshoe Lake dewberry</t>
  </si>
  <si>
    <t>Rubus dissensus</t>
  </si>
  <si>
    <t>Rubus wheeleri</t>
  </si>
  <si>
    <t>Wheeler's blackberry</t>
  </si>
  <si>
    <t>Rubus compos</t>
  </si>
  <si>
    <t>Rubus fassettii</t>
  </si>
  <si>
    <t>Rubus fulleri</t>
  </si>
  <si>
    <t>Rubus potis</t>
  </si>
  <si>
    <t>Rubus rotundior</t>
  </si>
  <si>
    <t>Rubus rowleei</t>
  </si>
  <si>
    <t>Rubus semisetosus var. wheeleri</t>
  </si>
  <si>
    <t>Rubus univocus</t>
  </si>
  <si>
    <t>Rubus wisconsinensis</t>
  </si>
  <si>
    <t>Wisconsin blackberry</t>
  </si>
  <si>
    <t>Rubus conabilis</t>
  </si>
  <si>
    <t>Rubus latifoliolus</t>
  </si>
  <si>
    <t>Rubus minnesotanus</t>
  </si>
  <si>
    <t>Rubus setospinosus</t>
  </si>
  <si>
    <t>Salix amygdaloides</t>
  </si>
  <si>
    <t>peachleaf willow</t>
  </si>
  <si>
    <t>Salix amygdaloides var. wrightii</t>
  </si>
  <si>
    <t>Salix nigra var. amygdaloides</t>
  </si>
  <si>
    <t>Salix nigra var. wrightii</t>
  </si>
  <si>
    <t>Salix wrightii</t>
  </si>
  <si>
    <t>Salix bebbiana</t>
  </si>
  <si>
    <t>Bebb willow</t>
  </si>
  <si>
    <t>Salix bebbiana var. capreifolia</t>
  </si>
  <si>
    <t>Salix bebbiana var. depilis</t>
  </si>
  <si>
    <t>Salix bebbiana var. luxurians</t>
  </si>
  <si>
    <t>Salix bebbiana var. perrostrata</t>
  </si>
  <si>
    <t>Salix bebbiana var. projecta</t>
  </si>
  <si>
    <t>Salix depressa ssp. rostrata</t>
  </si>
  <si>
    <t>Salix livida var. occidentalis</t>
  </si>
  <si>
    <t>Salix livida var. rostrata</t>
  </si>
  <si>
    <t>Salix perrostrata</t>
  </si>
  <si>
    <t>Salix rostrata</t>
  </si>
  <si>
    <t>Salix rostrata var. capreifolia</t>
  </si>
  <si>
    <t>Salix rostrata var. luxurians</t>
  </si>
  <si>
    <t>Salix rostrata var. perrostrata</t>
  </si>
  <si>
    <t>Salix rostrata var. projecta</t>
  </si>
  <si>
    <t>Salix starkeana ssp. bebbiana</t>
  </si>
  <si>
    <t>Salix vagans var. occidentalis</t>
  </si>
  <si>
    <t>Salix vagans var. rostrata</t>
  </si>
  <si>
    <t>Salix candida</t>
  </si>
  <si>
    <t>sageleaf willow</t>
  </si>
  <si>
    <t>Salix candida var. denudata</t>
  </si>
  <si>
    <t>Salix candida var. tomentosa</t>
  </si>
  <si>
    <t>Salix candidula</t>
  </si>
  <si>
    <t>Salix discolor</t>
  </si>
  <si>
    <t>pussy willow</t>
  </si>
  <si>
    <t>Salix ancorifera</t>
  </si>
  <si>
    <t>Salix conformis</t>
  </si>
  <si>
    <t>Salix crassa</t>
  </si>
  <si>
    <t>Salix discolor var. overi</t>
  </si>
  <si>
    <t>Salix discolor var. prinoides</t>
  </si>
  <si>
    <t>Salix discolor var. rigidior</t>
  </si>
  <si>
    <t>Salix fuscata</t>
  </si>
  <si>
    <t>Salix prinoides</t>
  </si>
  <si>
    <t>Salix sensitiva</t>
  </si>
  <si>
    <t>Salix squamata</t>
  </si>
  <si>
    <t>Salix eriocephala</t>
  </si>
  <si>
    <t>Missouri River willow</t>
  </si>
  <si>
    <t>Salix acutidens</t>
  </si>
  <si>
    <t>Salix angustata</t>
  </si>
  <si>
    <t>Salix cordata</t>
  </si>
  <si>
    <t>Salix cordata ssp. rigida</t>
  </si>
  <si>
    <t>Salix cordata var. abrasa</t>
  </si>
  <si>
    <t>Salix cordata var. angustata</t>
  </si>
  <si>
    <t>Salix cordata var. missouriensis</t>
  </si>
  <si>
    <t>Salix cordata var. rigida</t>
  </si>
  <si>
    <t>Salix cordata var. vestita</t>
  </si>
  <si>
    <t>Salix discolor var. eriocephala</t>
  </si>
  <si>
    <t>Salix missouriensis</t>
  </si>
  <si>
    <t>Salix myricoides var. angustata</t>
  </si>
  <si>
    <t>Salix myricoides var. cordata</t>
  </si>
  <si>
    <t>Salix myricoides var. rigida</t>
  </si>
  <si>
    <t>Salix rigida</t>
  </si>
  <si>
    <t>Salix rigida var. angustata</t>
  </si>
  <si>
    <t>Salix rigida var. vestita</t>
  </si>
  <si>
    <t>Salix torreyana</t>
  </si>
  <si>
    <t>Salix humilis</t>
  </si>
  <si>
    <t>prairie willow</t>
  </si>
  <si>
    <t>Salix humilis var. humilis</t>
  </si>
  <si>
    <t>Salix conifera</t>
  </si>
  <si>
    <t>Salix humilis var. angustifolia</t>
  </si>
  <si>
    <t>Salix humilis var. grandifolia</t>
  </si>
  <si>
    <t>Salix humilis var. hyporhysa</t>
  </si>
  <si>
    <t>Salix humilis var. keweenawensis</t>
  </si>
  <si>
    <t>Salix humilis var. rigidiuscula</t>
  </si>
  <si>
    <t>Salix muehlenbergiana var. angustifolia</t>
  </si>
  <si>
    <t>Salix muehlenbergiana var. grandifolia</t>
  </si>
  <si>
    <t>Salix tristis var. glabrata</t>
  </si>
  <si>
    <t>Salix humilis var. tristis</t>
  </si>
  <si>
    <t>Salix alpina</t>
  </si>
  <si>
    <t>Salix humilis var. microphylla</t>
  </si>
  <si>
    <t>Salix longirostris</t>
  </si>
  <si>
    <t>Salix muehlenbergiana</t>
  </si>
  <si>
    <t>Salix occidentalis</t>
  </si>
  <si>
    <t>Salix recurvata</t>
  </si>
  <si>
    <t>Salix tristis</t>
  </si>
  <si>
    <t>Salix tristis var. longifolia</t>
  </si>
  <si>
    <t>Salix tristis var. microphylla</t>
  </si>
  <si>
    <t>Salix tristis var. momadelphia</t>
  </si>
  <si>
    <t>Salix interior</t>
  </si>
  <si>
    <t>sandbar willow</t>
  </si>
  <si>
    <t>Salix exigua ssp. interior</t>
  </si>
  <si>
    <t>Salix exigua var. exterior</t>
  </si>
  <si>
    <t>Salix exigua var. pedicellata</t>
  </si>
  <si>
    <t>Salix exigua var. sericans</t>
  </si>
  <si>
    <t>Salix fluviatilis var. sericans</t>
  </si>
  <si>
    <t>Salix interior var. exterior</t>
  </si>
  <si>
    <t>Salix interior var. pedicellata</t>
  </si>
  <si>
    <t>Salix interior var. wheeleri</t>
  </si>
  <si>
    <t>Salix longifolia</t>
  </si>
  <si>
    <t>Salix longifolia var. interior</t>
  </si>
  <si>
    <t>Salix longifolia var. pedicellata</t>
  </si>
  <si>
    <t>Salix longifolia var. sericans</t>
  </si>
  <si>
    <t>Salix longifolia var. wheeleri</t>
  </si>
  <si>
    <t>Salix rubra</t>
  </si>
  <si>
    <t>Salix wheeleri</t>
  </si>
  <si>
    <t>Salix lucida</t>
  </si>
  <si>
    <t>shining willow</t>
  </si>
  <si>
    <t>Salix lucida ssp. lucida</t>
  </si>
  <si>
    <t>Salix arguta var. hirtisquama</t>
  </si>
  <si>
    <t>Salix lucida var. angustifolia</t>
  </si>
  <si>
    <t>Salix lucida var. intonsa</t>
  </si>
  <si>
    <t>Salix lucida var. latifolia</t>
  </si>
  <si>
    <t>Salix lucida var. ovatifolia</t>
  </si>
  <si>
    <t>Salix pentandra var. lucida</t>
  </si>
  <si>
    <t>Salix lutea</t>
  </si>
  <si>
    <t>yellow willow</t>
  </si>
  <si>
    <t>Salix cordata var. denveriana</t>
  </si>
  <si>
    <t>Salix cordata var. desolata</t>
  </si>
  <si>
    <t>Salix cordata var. lutea</t>
  </si>
  <si>
    <t>Salix cordata var. platyphylla</t>
  </si>
  <si>
    <t>Salix cordata var. watsonii</t>
  </si>
  <si>
    <t>Salix eriocephala var. famelica</t>
  </si>
  <si>
    <t>Salix eriocephala var. watsonii</t>
  </si>
  <si>
    <t>Salix flava</t>
  </si>
  <si>
    <t>Salix lutea var. desolata</t>
  </si>
  <si>
    <t>Salix lutea var. famelica</t>
  </si>
  <si>
    <t>Salix lutea var. platyphylla</t>
  </si>
  <si>
    <t>Salix lutea var. watsonii</t>
  </si>
  <si>
    <t>Salix ormsbyensis</t>
  </si>
  <si>
    <t>Salix rigida var. watsonii</t>
  </si>
  <si>
    <t>Salix watsonii</t>
  </si>
  <si>
    <t>Salix nigra</t>
  </si>
  <si>
    <t>black willow</t>
  </si>
  <si>
    <t>Salix ambigua</t>
  </si>
  <si>
    <t>Salix denudata</t>
  </si>
  <si>
    <t>Salix dubia</t>
  </si>
  <si>
    <t>Salix falcata</t>
  </si>
  <si>
    <t>Salix flavovirens</t>
  </si>
  <si>
    <t>Salix ligustrina</t>
  </si>
  <si>
    <t>Salix ludoviciana</t>
  </si>
  <si>
    <t>Salix nigra var. altissima</t>
  </si>
  <si>
    <t>Salix nigra var. brevifolia</t>
  </si>
  <si>
    <t>Salix nigra var. brevijulis</t>
  </si>
  <si>
    <t>Salix nigra var. falcata</t>
  </si>
  <si>
    <t>Salix nigra var. lindheimeri</t>
  </si>
  <si>
    <t>Salix nigra var. longifolia</t>
  </si>
  <si>
    <t>Salix nigra var. marginata</t>
  </si>
  <si>
    <t>Salix purshiana</t>
  </si>
  <si>
    <t>Salix pedicellaris</t>
  </si>
  <si>
    <t>bog willow</t>
  </si>
  <si>
    <t>Salix fuscescens var. hebecarpa</t>
  </si>
  <si>
    <t>Salix hebecarpa</t>
  </si>
  <si>
    <t>Salix myrtilloides var. hypoglauca</t>
  </si>
  <si>
    <t>Salix myrtilloides var. pedicellaris</t>
  </si>
  <si>
    <t>Salix pedicellaris var. hypoglauca</t>
  </si>
  <si>
    <t>Salix pedicellaris var. tenuescens</t>
  </si>
  <si>
    <t>Salix petiolaris</t>
  </si>
  <si>
    <t>meadow willow</t>
  </si>
  <si>
    <t>Salix gracilis</t>
  </si>
  <si>
    <t>Salix gracilis var. rosmarinoides</t>
  </si>
  <si>
    <t>Salix gracilis var. textoris</t>
  </si>
  <si>
    <t>Salix neoforbesii</t>
  </si>
  <si>
    <t>Salix petiolaris var. angustifolia</t>
  </si>
  <si>
    <t>Salix petiolaris var. gracilis</t>
  </si>
  <si>
    <t>Salix petiolaris var. rosmarinoides</t>
  </si>
  <si>
    <t>Salix petiolaris var. subsericea</t>
  </si>
  <si>
    <t>Salix sericea var. subsericea</t>
  </si>
  <si>
    <t>Salix ×subsericea</t>
  </si>
  <si>
    <t>Salix sericea</t>
  </si>
  <si>
    <t>silky willow</t>
  </si>
  <si>
    <t>Salix coactilis</t>
  </si>
  <si>
    <t>Salix grisea</t>
  </si>
  <si>
    <t>Salix pensylvanica</t>
  </si>
  <si>
    <t>Salix petiolaris var. grisea</t>
  </si>
  <si>
    <t>Salix petiolaris var. sericea</t>
  </si>
  <si>
    <t>Sambucus nigra</t>
  </si>
  <si>
    <t>black elderberry</t>
  </si>
  <si>
    <t>Sambucus nigra ssp. canadensis</t>
  </si>
  <si>
    <t>American black elderberry</t>
  </si>
  <si>
    <t>Sambucus caerulea var. mexicana</t>
  </si>
  <si>
    <t>Sambucus canadensis</t>
  </si>
  <si>
    <t>Sambucus canadensis var. laciniata</t>
  </si>
  <si>
    <t>Sambucus canadensis var. submollis</t>
  </si>
  <si>
    <t>Sambucus cerulea var. mexicana</t>
  </si>
  <si>
    <t>Sambucus mexicana</t>
  </si>
  <si>
    <t>Sambucus orbiculata</t>
  </si>
  <si>
    <t>Sambucus simpsonii</t>
  </si>
  <si>
    <t>Sambucus racemosa</t>
  </si>
  <si>
    <t>red elderberry</t>
  </si>
  <si>
    <t>Sambucus racemosa var. racemosa</t>
  </si>
  <si>
    <t>Sambucus callicarpa</t>
  </si>
  <si>
    <t>Sambucus microbotrys</t>
  </si>
  <si>
    <t>Sambucus pubens</t>
  </si>
  <si>
    <t>Sambucus pubens var. arborescens</t>
  </si>
  <si>
    <t>Sambucus racemosa ssp. pubens</t>
  </si>
  <si>
    <t>Sambucus racemosa var. arborescens</t>
  </si>
  <si>
    <t>Sambucus racemosa var. laciniata</t>
  </si>
  <si>
    <t>Sambucus racemosa var. leucocarpa</t>
  </si>
  <si>
    <t>Sambucus racemosa var. microbotrys</t>
  </si>
  <si>
    <t>Sambucus racemosa var. pubens</t>
  </si>
  <si>
    <t>Sassafras albidum</t>
  </si>
  <si>
    <t>sassafras</t>
  </si>
  <si>
    <t>Laurus albidus</t>
  </si>
  <si>
    <t>Laurus sassafras</t>
  </si>
  <si>
    <t>Sassafras albidum var. molle</t>
  </si>
  <si>
    <t>Sassafras officinale</t>
  </si>
  <si>
    <t>Sassafras sassafras</t>
  </si>
  <si>
    <t>Sassafras variifolium</t>
  </si>
  <si>
    <t>Shepherdia argentea</t>
  </si>
  <si>
    <t>silver buffaloberry</t>
  </si>
  <si>
    <t>Elaeagnus utilis</t>
  </si>
  <si>
    <t>Lepargyrea argentea</t>
  </si>
  <si>
    <t>Smilax rotundifolia</t>
  </si>
  <si>
    <t>roundleaf greenbrier</t>
  </si>
  <si>
    <t>Smilax rotundifolia var. crenulata</t>
  </si>
  <si>
    <t>Smilax rotundifolia var. quadrangularis</t>
  </si>
  <si>
    <t>Smilax tamnoides</t>
  </si>
  <si>
    <t>bristly greenbrier</t>
  </si>
  <si>
    <t>Smilax hispida</t>
  </si>
  <si>
    <t>Smilax hispida var. australis</t>
  </si>
  <si>
    <t>Smilax hispida var. montana</t>
  </si>
  <si>
    <t>Smilax tamnoides var. hispida</t>
  </si>
  <si>
    <t>Sorbus decora</t>
  </si>
  <si>
    <t>northern mountain ash</t>
  </si>
  <si>
    <t>Pyrus americana var. decora</t>
  </si>
  <si>
    <t>Pyrus decora</t>
  </si>
  <si>
    <t>Spiraea alba</t>
  </si>
  <si>
    <t>white meadowsweet</t>
  </si>
  <si>
    <t>Spiraea alba var. alba</t>
  </si>
  <si>
    <t>Staphylea trifolia</t>
  </si>
  <si>
    <t>American bladdernut</t>
  </si>
  <si>
    <t>Symphoricarpos albus</t>
  </si>
  <si>
    <t>common snowberry</t>
  </si>
  <si>
    <t>Symphoricarpos albus var. albus</t>
  </si>
  <si>
    <t>Symphoricarpos albus var. pauciflorus</t>
  </si>
  <si>
    <t>Symphoricarpos pauciflorus</t>
  </si>
  <si>
    <t>Symphoricarpos racemosus</t>
  </si>
  <si>
    <t>Symphoricarpos occidentalis</t>
  </si>
  <si>
    <t>western snowberry</t>
  </si>
  <si>
    <t>Symphoricarpos orbiculatus</t>
  </si>
  <si>
    <t>coralberry</t>
  </si>
  <si>
    <t>Symphoricarpos symphoricarpos</t>
  </si>
  <si>
    <t>Taxus canadensis</t>
  </si>
  <si>
    <t>Canada yew</t>
  </si>
  <si>
    <t>Thuja occidentalis</t>
  </si>
  <si>
    <t>arborvitae</t>
  </si>
  <si>
    <t>Thuja occidentalis var. fastigiata</t>
  </si>
  <si>
    <t>Thuja occidentalis var. nigra</t>
  </si>
  <si>
    <t>Thuja occidentalis var. pyramidalis</t>
  </si>
  <si>
    <t>Thuja occidentalis f. malonyana</t>
  </si>
  <si>
    <t>Tilia americana</t>
  </si>
  <si>
    <t>American basswood</t>
  </si>
  <si>
    <t>Tilia americana var. americana</t>
  </si>
  <si>
    <t>Tilia americana var. neglecta</t>
  </si>
  <si>
    <t>Tilia glabra</t>
  </si>
  <si>
    <t>Tilia neglecta</t>
  </si>
  <si>
    <t>Tilia palmeri</t>
  </si>
  <si>
    <t>Tilia truncata</t>
  </si>
  <si>
    <t>Tilia venulosa</t>
  </si>
  <si>
    <t>Tilia americana var. heterophylla</t>
  </si>
  <si>
    <t>Tilia eburnea</t>
  </si>
  <si>
    <t>Tilia heterophylla</t>
  </si>
  <si>
    <t>Tilia heterophylla var. michauxii</t>
  </si>
  <si>
    <t>Tilia lasioclada</t>
  </si>
  <si>
    <t>Tilia michauxii</t>
  </si>
  <si>
    <t>Tilia monticola</t>
  </si>
  <si>
    <t>Ulmus americana</t>
  </si>
  <si>
    <t>American elm</t>
  </si>
  <si>
    <t>Ulmus americana var. floridana</t>
  </si>
  <si>
    <t>Ulmus floridana</t>
  </si>
  <si>
    <t>Ulmus rubra</t>
  </si>
  <si>
    <t>slippery elm</t>
  </si>
  <si>
    <t>Ulmus fulva</t>
  </si>
  <si>
    <t>Ulmus thomasii</t>
  </si>
  <si>
    <t>rock elm</t>
  </si>
  <si>
    <t>Ulmus racemosa</t>
  </si>
  <si>
    <t>Vaccinium angustifolium</t>
  </si>
  <si>
    <t>lowbush blueberry</t>
  </si>
  <si>
    <t>Vaccinium angustifolium var. hypolasium</t>
  </si>
  <si>
    <t>Vaccinium angustifolium var. laevifolium</t>
  </si>
  <si>
    <t>Vaccinium angustifolium var. nigrum</t>
  </si>
  <si>
    <t>Vaccinium brittonii</t>
  </si>
  <si>
    <t>Vaccinium lamarckii</t>
  </si>
  <si>
    <t>Vaccinium nigrum</t>
  </si>
  <si>
    <t>Vaccinium myrtilloides</t>
  </si>
  <si>
    <t>velvetleaf huckleberry</t>
  </si>
  <si>
    <t>Cyanococcus canadensis</t>
  </si>
  <si>
    <t>Vaccinium angustifolium var. myrtilloides</t>
  </si>
  <si>
    <t>Vaccinium canadense</t>
  </si>
  <si>
    <t>Viburnum dentatum</t>
  </si>
  <si>
    <t>southern arrowwood</t>
  </si>
  <si>
    <t>Viburnum dentatum var. dentatum</t>
  </si>
  <si>
    <t>Viburnum carolinianum</t>
  </si>
  <si>
    <t>Viburnum carolinianum var. cismontanum</t>
  </si>
  <si>
    <t>Viburnum carolinianum var. deamii</t>
  </si>
  <si>
    <t>Viburnum crenatum</t>
  </si>
  <si>
    <t>Viburnum dentatum var. deamii</t>
  </si>
  <si>
    <t>Viburnum dentatum var. indianense</t>
  </si>
  <si>
    <t>Viburnum dentatum var. scabrellum</t>
  </si>
  <si>
    <t>Viburnum dentatum var. semitomentosum</t>
  </si>
  <si>
    <t>Viburnum indianense</t>
  </si>
  <si>
    <t>Viburnum pubescens</t>
  </si>
  <si>
    <t>Viburnum pubescens var. deamii</t>
  </si>
  <si>
    <t>Viburnum pubescens var. indianense</t>
  </si>
  <si>
    <t>Viburnum scabrellum</t>
  </si>
  <si>
    <t>Viburnum scabrellum var. dilutum</t>
  </si>
  <si>
    <t>Viburnum semitomentosum</t>
  </si>
  <si>
    <t>Viburnum lentago</t>
  </si>
  <si>
    <t>nannyberry</t>
  </si>
  <si>
    <t>Viburnum ×vetteri</t>
  </si>
  <si>
    <t>Viburnum molle</t>
  </si>
  <si>
    <t>softleaf arrowwood</t>
  </si>
  <si>
    <t>Viburnum ozarkense</t>
  </si>
  <si>
    <t>Viburnum opulus</t>
  </si>
  <si>
    <t>European cranberrybush</t>
  </si>
  <si>
    <t>Viburnum opulus var. americanum</t>
  </si>
  <si>
    <t>American cranberrybush</t>
  </si>
  <si>
    <t>Viburnum opulus ssp. trilobum</t>
  </si>
  <si>
    <t>Viburnum trilobum</t>
  </si>
  <si>
    <t>Viburnum prunifolium</t>
  </si>
  <si>
    <t>blackhaw</t>
  </si>
  <si>
    <t>Viburnum bushii</t>
  </si>
  <si>
    <t>Viburnum prunifolium var. bushii</t>
  </si>
  <si>
    <t>Viburnum prunifolium var. globosum</t>
  </si>
  <si>
    <t>Viburnum rafinesqueanum</t>
  </si>
  <si>
    <t>downy arrowwood</t>
  </si>
  <si>
    <t>Viburnum affine</t>
  </si>
  <si>
    <t>Viburnum affine var. hypomalacum</t>
  </si>
  <si>
    <t>Viburnum rafinesqueanum var. affine</t>
  </si>
  <si>
    <t>Viburnum rafinesqueanum var. rafinesqueanum</t>
  </si>
  <si>
    <t>Zanthoxylum americanum</t>
  </si>
  <si>
    <t>common pricklyash</t>
  </si>
  <si>
    <t>Trees, Shrubs, and Subshrubs</t>
  </si>
  <si>
    <t>Vines</t>
  </si>
  <si>
    <t>Ampelopsis cordata</t>
  </si>
  <si>
    <t>heartleaf peppervine</t>
  </si>
  <si>
    <t>Cissus ampelopsis</t>
  </si>
  <si>
    <t>Campsis radicans</t>
  </si>
  <si>
    <t>trumpet creeper</t>
  </si>
  <si>
    <t>Bignonia radicans</t>
  </si>
  <si>
    <t>Tecoma radicans</t>
  </si>
  <si>
    <t>American bittersweet</t>
  </si>
  <si>
    <t>Clematis occidentalis</t>
  </si>
  <si>
    <t>western blue virginsbower</t>
  </si>
  <si>
    <t>Clematis occidentalis var. occidentalis</t>
  </si>
  <si>
    <t>Atragene americana</t>
  </si>
  <si>
    <t>Atragene occidentalis</t>
  </si>
  <si>
    <t>Clematis verticillaris</t>
  </si>
  <si>
    <t>Clematis verticillaris var. cacuminis</t>
  </si>
  <si>
    <t>Clematis verticillaris var. grandiflora</t>
  </si>
  <si>
    <t>Clematis pitcheri</t>
  </si>
  <si>
    <t>bluebill</t>
  </si>
  <si>
    <t>Clematis pitcheri var. pitcheri</t>
  </si>
  <si>
    <t>Clematis filifera</t>
  </si>
  <si>
    <t>Clematis pitcheri var. filifera</t>
  </si>
  <si>
    <t>Coriflora pitcheri</t>
  </si>
  <si>
    <t>Viorna pitcheri</t>
  </si>
  <si>
    <t>devil's darning needles</t>
  </si>
  <si>
    <t>Clematis virginiana var. missouriensis</t>
  </si>
  <si>
    <t>Lonicera dioica</t>
  </si>
  <si>
    <t>limber honeysuckle</t>
  </si>
  <si>
    <t>Lonicera dioica var. dasygyna</t>
  </si>
  <si>
    <t>Lonicera dioica var. glaucescens</t>
  </si>
  <si>
    <t>Lonicera dioica var. orientalis</t>
  </si>
  <si>
    <t>Lonicera glaucescens</t>
  </si>
  <si>
    <t>Lonicera glaucescens var. dasygyna</t>
  </si>
  <si>
    <t>Lonicera sempervirens</t>
  </si>
  <si>
    <t>trumpet honeysuckle</t>
  </si>
  <si>
    <t>Lonicera sempervirens var. hirsutula</t>
  </si>
  <si>
    <t>Lonicera sempervirens var. minor</t>
  </si>
  <si>
    <t>Lonicera sempervirens var. sempervirens</t>
  </si>
  <si>
    <t>Phenianthus sempervirens</t>
  </si>
  <si>
    <t>Menispermum canadense</t>
  </si>
  <si>
    <t>common moonseed</t>
  </si>
  <si>
    <t>Parthenocissus quinquefolia</t>
  </si>
  <si>
    <t>Virginia creeper</t>
  </si>
  <si>
    <t>Ampelopsis hederacea var. murorum</t>
  </si>
  <si>
    <t>Ampelopsis latifolia</t>
  </si>
  <si>
    <t>Ampelopsis quinquefolia</t>
  </si>
  <si>
    <t>Hedera quinquefolia</t>
  </si>
  <si>
    <t>Parthenocissus hirsuta</t>
  </si>
  <si>
    <t>Parthenocissus inserta</t>
  </si>
  <si>
    <t>Parthenocissus quinquefolia var. hirsuta</t>
  </si>
  <si>
    <t>Parthenocissus quinquefolia var. murorum</t>
  </si>
  <si>
    <t>Parthenocissus quinquefolia var. saintpaulii</t>
  </si>
  <si>
    <t>Psedera quinquefolia</t>
  </si>
  <si>
    <t>Psedera quinquefolia var. murorum</t>
  </si>
  <si>
    <t>Vitis inserta</t>
  </si>
  <si>
    <t>Vitis quinquefolia</t>
  </si>
  <si>
    <t>Parthenocissus vitacea</t>
  </si>
  <si>
    <t>woodbine</t>
  </si>
  <si>
    <t>Vitis aestivalis</t>
  </si>
  <si>
    <t>summer grape</t>
  </si>
  <si>
    <t>Vitis aestivalis var. aestivalis</t>
  </si>
  <si>
    <t>Vitis lincecumii var. glauca</t>
  </si>
  <si>
    <t>Vitis lincecumii var. lactea</t>
  </si>
  <si>
    <t>Vitis rufotomentosa</t>
  </si>
  <si>
    <t>Vitis simpsonii</t>
  </si>
  <si>
    <t>Vitis ×slavinii</t>
  </si>
  <si>
    <t>Vitis smalliana</t>
  </si>
  <si>
    <t>Vitis aestivalis var. bicolor</t>
  </si>
  <si>
    <t>Vitis aestivalis var. argentifolia</t>
  </si>
  <si>
    <t>Vitis argentifolia</t>
  </si>
  <si>
    <t>Vitis bicolor</t>
  </si>
  <si>
    <t>Vitis lecontiana</t>
  </si>
  <si>
    <t>Vitis cinerea</t>
  </si>
  <si>
    <t>graybark grape</t>
  </si>
  <si>
    <t>Vitis cinerea var. cinerea</t>
  </si>
  <si>
    <t>Vitis aestivalis var. canescens</t>
  </si>
  <si>
    <t>Vitis aestivalis var. cinerea</t>
  </si>
  <si>
    <t>Vitis cinerea var. canescens</t>
  </si>
  <si>
    <t>Vitis riparia</t>
  </si>
  <si>
    <t>riverbank grape</t>
  </si>
  <si>
    <t>Vitis riparia var. praecox</t>
  </si>
  <si>
    <t>Vitis riparia var. syrticola</t>
  </si>
  <si>
    <t>Vitis vulpina ssp. riparia</t>
  </si>
  <si>
    <t>Vitis vulpina var. praecox</t>
  </si>
  <si>
    <t>Vitis vulpina var. syrticola</t>
  </si>
  <si>
    <t>Vitis vulpina</t>
  </si>
  <si>
    <t>frost grape</t>
  </si>
  <si>
    <t>Vitis cordifolia</t>
  </si>
  <si>
    <t>Vitis cordifolia var. foetida</t>
  </si>
  <si>
    <t>Vitis cordifolia var. sempervirens</t>
  </si>
  <si>
    <t>Vitis illex</t>
  </si>
  <si>
    <t>Wisteria frutescens</t>
  </si>
  <si>
    <t>American wisteria</t>
  </si>
  <si>
    <t>Kraunhia frutescens</t>
  </si>
  <si>
    <t>Kraunhia macrostachya</t>
  </si>
  <si>
    <t>Wisteria frutescens var. macrostachya</t>
  </si>
  <si>
    <t>Wisteria macrostachya</t>
  </si>
  <si>
    <t>Scientific Name               </t>
  </si>
  <si>
    <t>Scientific Name                  </t>
  </si>
  <si>
    <t xml:space="preserve">Heterotheca villosa </t>
  </si>
  <si>
    <t>Bunch grass or sedge, Minimum</t>
  </si>
  <si>
    <t>Legume, Minimum</t>
  </si>
  <si>
    <t>All mixes</t>
  </si>
  <si>
    <t>Criteria Met</t>
  </si>
  <si>
    <t>Mix</t>
  </si>
  <si>
    <t>Criteria</t>
  </si>
  <si>
    <t>Requirement</t>
  </si>
  <si>
    <r>
      <t>Total Seeds/ft</t>
    </r>
    <r>
      <rPr>
        <vertAlign val="superscript"/>
        <sz val="10"/>
        <rFont val="Arial"/>
        <family val="2"/>
      </rPr>
      <t>2</t>
    </r>
    <r>
      <rPr>
        <sz val="10"/>
        <rFont val="Arial"/>
        <family val="2"/>
      </rPr>
      <t>, Minimum</t>
    </r>
  </si>
  <si>
    <t>PLS Lbs/Acre</t>
  </si>
  <si>
    <t>TOTAL</t>
  </si>
  <si>
    <r>
      <t>Grass Seeds/ft</t>
    </r>
    <r>
      <rPr>
        <vertAlign val="superscript"/>
        <sz val="10"/>
        <rFont val="Arial"/>
        <family val="2"/>
      </rPr>
      <t>2</t>
    </r>
    <r>
      <rPr>
        <sz val="10"/>
        <rFont val="Arial"/>
        <family val="2"/>
      </rPr>
      <t>, Minimum</t>
    </r>
  </si>
  <si>
    <t>Additional Requirements for Wildlife Plantings</t>
  </si>
  <si>
    <t>Requirements For All Sites</t>
  </si>
  <si>
    <t>% Annual and Biennial Forbs, Maximum</t>
  </si>
  <si>
    <t>327 Conservation Cover  Requirements for Mixes Containing Graminoids and Forbs</t>
  </si>
  <si>
    <t>Total Number of Species, Minimum</t>
  </si>
  <si>
    <t>Number of Graminoids, Minimum</t>
  </si>
  <si>
    <t>643 Restoration and Management of Rare or Declining Habitats Requirements</t>
  </si>
  <si>
    <t>643 Restoration and Management of Rare or Declining Habitats Recommendations</t>
  </si>
  <si>
    <t>Recommendation</t>
  </si>
  <si>
    <t>Number of Functional Plant Groups</t>
  </si>
  <si>
    <t>Recommendations For All Sites</t>
  </si>
  <si>
    <t>Number of Forbs and Sub-shrubs, Minimum</t>
  </si>
  <si>
    <t>Spring Blooming Forbs &amp; Shrubs, Minimum</t>
  </si>
  <si>
    <t>Summer Blooming Forbs &amp; Shrubs, Minimum</t>
  </si>
  <si>
    <t>Fall Blooming Forbs &amp; Shrubs, Minimum</t>
  </si>
  <si>
    <r>
      <t>Forb &amp; Sub-shrub Seeds/ft</t>
    </r>
    <r>
      <rPr>
        <vertAlign val="superscript"/>
        <sz val="10"/>
        <rFont val="Arial"/>
        <family val="2"/>
      </rPr>
      <t>2</t>
    </r>
    <r>
      <rPr>
        <sz val="10"/>
        <rFont val="Arial"/>
        <family val="2"/>
      </rPr>
      <t>, Minimum</t>
    </r>
  </si>
  <si>
    <r>
      <t xml:space="preserve">% Early successional species (CC </t>
    </r>
    <r>
      <rPr>
        <u/>
        <sz val="10"/>
        <rFont val="Arial"/>
        <family val="2"/>
      </rPr>
      <t>&lt;</t>
    </r>
    <r>
      <rPr>
        <sz val="10"/>
        <rFont val="Arial"/>
        <family val="2"/>
      </rPr>
      <t xml:space="preserve"> 3), Maximum</t>
    </r>
    <r>
      <rPr>
        <vertAlign val="superscript"/>
        <sz val="10"/>
        <rFont val="Arial"/>
        <family val="2"/>
      </rPr>
      <t>1</t>
    </r>
  </si>
  <si>
    <r>
      <t>% Mid successional species (CC 4-6), Maximum</t>
    </r>
    <r>
      <rPr>
        <vertAlign val="superscript"/>
        <sz val="10"/>
        <rFont val="Arial"/>
        <family val="2"/>
      </rPr>
      <t>1</t>
    </r>
  </si>
  <si>
    <r>
      <t xml:space="preserve">% Late successional species (CC </t>
    </r>
    <r>
      <rPr>
        <u/>
        <sz val="10"/>
        <rFont val="Arial"/>
        <family val="2"/>
      </rPr>
      <t>&gt;</t>
    </r>
    <r>
      <rPr>
        <sz val="10"/>
        <rFont val="Arial"/>
        <family val="2"/>
      </rPr>
      <t xml:space="preserve"> 7), Maximum</t>
    </r>
    <r>
      <rPr>
        <vertAlign val="superscript"/>
        <sz val="10"/>
        <rFont val="Arial"/>
        <family val="2"/>
      </rPr>
      <t>1</t>
    </r>
  </si>
  <si>
    <r>
      <rPr>
        <vertAlign val="superscript"/>
        <sz val="10"/>
        <rFont val="Arial"/>
        <family val="2"/>
      </rPr>
      <t>1</t>
    </r>
    <r>
      <rPr>
        <sz val="10"/>
        <rFont val="Arial"/>
        <family val="2"/>
      </rPr>
      <t xml:space="preserve"> On a seeds/ft</t>
    </r>
    <r>
      <rPr>
        <vertAlign val="superscript"/>
        <sz val="10"/>
        <rFont val="Arial"/>
        <family val="2"/>
      </rPr>
      <t xml:space="preserve">2 </t>
    </r>
    <r>
      <rPr>
        <sz val="10"/>
        <rFont val="Arial"/>
        <family val="2"/>
      </rPr>
      <t>basis</t>
    </r>
  </si>
  <si>
    <t>Indian Hemp</t>
  </si>
  <si>
    <t xml:space="preserve">Apocynum cannabinum </t>
  </si>
  <si>
    <t>Downy Pagoda-plant</t>
  </si>
  <si>
    <t>Lemon Yellow False Goldenaster</t>
  </si>
  <si>
    <t>Dutchman's Breeches</t>
  </si>
  <si>
    <t>Upright Burhead</t>
  </si>
  <si>
    <t>Roundseed St. Johnswort</t>
  </si>
  <si>
    <t xml:space="preserve">Hypericum sphaerocarpum </t>
  </si>
  <si>
    <t>Whiteflower Leafcup</t>
  </si>
  <si>
    <t xml:space="preserve">Polymnia canadensis </t>
  </si>
  <si>
    <t xml:space="preserve">Sagittaria cuneata </t>
  </si>
  <si>
    <t>Arumleaf Arrowhead</t>
  </si>
  <si>
    <t>Hoary Skullcap</t>
  </si>
  <si>
    <t>Golden Ragwort</t>
  </si>
  <si>
    <t xml:space="preserve">Packera aurea </t>
  </si>
  <si>
    <t xml:space="preserve">Sium suave </t>
  </si>
  <si>
    <t>Hemlock Water Parsnip</t>
  </si>
  <si>
    <t>Water Sedge</t>
  </si>
  <si>
    <t xml:space="preserve">Carex aquatilis </t>
  </si>
  <si>
    <t>Eastern Woodland Sedge</t>
  </si>
  <si>
    <t xml:space="preserve">Carex blanda </t>
  </si>
  <si>
    <t xml:space="preserve">Carex conjuncta </t>
  </si>
  <si>
    <t>Soft Fox Sedge</t>
  </si>
  <si>
    <t>Star Sedge</t>
  </si>
  <si>
    <t xml:space="preserve">Carex echinata </t>
  </si>
  <si>
    <t>James Sedge</t>
  </si>
  <si>
    <t xml:space="preserve">Carex jamesii </t>
  </si>
  <si>
    <t>Muskingum Sedge</t>
  </si>
  <si>
    <t>Clustered Field Sedge</t>
  </si>
  <si>
    <t>Floating Mannagrass</t>
  </si>
  <si>
    <t>Catchfly Grass</t>
  </si>
  <si>
    <t xml:space="preserve">Leersia lenticularis </t>
  </si>
  <si>
    <t>Rufous Bulrush</t>
  </si>
  <si>
    <t xml:space="preserve">Scirpus pendulus </t>
  </si>
  <si>
    <t xml:space="preserve">Scolochloa festucacea </t>
  </si>
  <si>
    <t>Forb, Annual</t>
  </si>
  <si>
    <t>Forb, Biennial</t>
  </si>
  <si>
    <t>Forb, Hemiparasite, Annual</t>
  </si>
  <si>
    <t>Forb, Hemiparasite, Perennial</t>
  </si>
  <si>
    <t>Forb, Legume, Annual</t>
  </si>
  <si>
    <t>Forb, Legume, Perennial</t>
  </si>
  <si>
    <t>Forb, Parasitic, Annual</t>
  </si>
  <si>
    <t>Forb, Perennial</t>
  </si>
  <si>
    <t>Grass, Cool Season, Annual</t>
  </si>
  <si>
    <t>Grass, Cool Season, Perennial</t>
  </si>
  <si>
    <t>Grass, Warm Season, Annual</t>
  </si>
  <si>
    <t>Grass, Warm Season, Perennial</t>
  </si>
  <si>
    <t>Rush, Cool Season, Perennial</t>
  </si>
  <si>
    <t>Sedge, Cool Season, Annual</t>
  </si>
  <si>
    <t>Sedge, Cool Season, Perennial</t>
  </si>
  <si>
    <t>Sub-shrub</t>
  </si>
  <si>
    <t>Vine,  Herbaceous, Legume, Annual</t>
  </si>
  <si>
    <t>Vine, Herbaceous, Annual</t>
  </si>
  <si>
    <t>Vine, Herbaceous, Legume, Perennial</t>
  </si>
  <si>
    <t>Vine, Herbaceous, Perennial</t>
  </si>
  <si>
    <t>Vine, Woody</t>
  </si>
  <si>
    <t>Fern</t>
  </si>
  <si>
    <t>Functional Plant Group Representation:</t>
  </si>
  <si>
    <r>
      <rPr>
        <u/>
        <sz val="10"/>
        <rFont val="Arial"/>
        <family val="2"/>
      </rPr>
      <t>&gt;</t>
    </r>
    <r>
      <rPr>
        <sz val="10"/>
        <rFont val="Arial"/>
        <family val="2"/>
      </rPr>
      <t xml:space="preserve"> 7</t>
    </r>
  </si>
  <si>
    <r>
      <t>% of Mix</t>
    </r>
    <r>
      <rPr>
        <b/>
        <vertAlign val="superscript"/>
        <sz val="10"/>
        <rFont val="Arial"/>
        <family val="2"/>
      </rPr>
      <t>1</t>
    </r>
  </si>
  <si>
    <t>Leonard's Skullcap</t>
  </si>
  <si>
    <r>
      <t>Scutellaria</t>
    </r>
    <r>
      <rPr>
        <sz val="10"/>
        <rFont val="Arial"/>
        <family val="2"/>
      </rPr>
      <t xml:space="preserve"> </t>
    </r>
    <r>
      <rPr>
        <i/>
        <sz val="10"/>
        <rFont val="Arial"/>
        <family val="2"/>
      </rPr>
      <t>parvula</t>
    </r>
    <r>
      <rPr>
        <sz val="10"/>
        <rFont val="Arial"/>
        <family val="2"/>
      </rPr>
      <t xml:space="preserve"> var. </t>
    </r>
    <r>
      <rPr>
        <i/>
        <sz val="10"/>
        <rFont val="Arial"/>
        <family val="2"/>
      </rPr>
      <t>missouriensis</t>
    </r>
    <r>
      <rPr>
        <sz val="10"/>
        <rFont val="Arial"/>
        <family val="2"/>
      </rPr>
      <t xml:space="preserve"> </t>
    </r>
  </si>
  <si>
    <t>Statewide</t>
  </si>
  <si>
    <t>ALL</t>
  </si>
  <si>
    <t>Smooth Carrionflower</t>
  </si>
  <si>
    <t>Hoary Puccoon</t>
  </si>
  <si>
    <r>
      <t>Eupatoriadelphus</t>
    </r>
    <r>
      <rPr>
        <sz val="12"/>
        <rFont val="Arial"/>
        <family val="2"/>
      </rPr>
      <t xml:space="preserve"> </t>
    </r>
    <r>
      <rPr>
        <i/>
        <sz val="12"/>
        <rFont val="Arial"/>
        <family val="2"/>
      </rPr>
      <t>maculatus</t>
    </r>
    <r>
      <rPr>
        <sz val="12"/>
        <rFont val="Arial"/>
        <family val="2"/>
      </rPr>
      <t xml:space="preserve"> </t>
    </r>
  </si>
  <si>
    <r>
      <t>Scutellaria</t>
    </r>
    <r>
      <rPr>
        <sz val="12"/>
        <rFont val="Arial"/>
        <family val="2"/>
      </rPr>
      <t xml:space="preserve"> </t>
    </r>
    <r>
      <rPr>
        <i/>
        <sz val="12"/>
        <rFont val="Arial"/>
        <family val="2"/>
      </rPr>
      <t>parvula</t>
    </r>
    <r>
      <rPr>
        <sz val="12"/>
        <rFont val="Arial"/>
        <family val="2"/>
      </rPr>
      <t xml:space="preserve"> var. </t>
    </r>
    <r>
      <rPr>
        <i/>
        <sz val="12"/>
        <rFont val="Arial"/>
        <family val="2"/>
      </rPr>
      <t>missouriensis</t>
    </r>
    <r>
      <rPr>
        <sz val="12"/>
        <rFont val="Arial"/>
        <family val="2"/>
      </rPr>
      <t xml:space="preserve"> </t>
    </r>
  </si>
  <si>
    <t>Buxbaum's Sedge</t>
  </si>
  <si>
    <t>Hayden's Sedge</t>
  </si>
  <si>
    <t>Sartwell's Sedge</t>
  </si>
  <si>
    <t>Prairie Straw Sedge</t>
  </si>
  <si>
    <t xml:space="preserve">Carex gracilescens </t>
  </si>
  <si>
    <t>Slender Looseflower Sedge</t>
  </si>
  <si>
    <t>Bristlystalked Sedge</t>
  </si>
  <si>
    <t>White Fawnlily</t>
  </si>
  <si>
    <t xml:space="preserve">Erythronium albidum </t>
  </si>
  <si>
    <t>Rough Bugleweed</t>
  </si>
  <si>
    <t>Bald Spikerush</t>
  </si>
  <si>
    <t>Northern Water Plantain</t>
  </si>
  <si>
    <t>Bigleaf Aster</t>
  </si>
  <si>
    <t>False Indian Plantain</t>
  </si>
  <si>
    <t>American Vetch</t>
  </si>
  <si>
    <t>Pawpaw</t>
  </si>
  <si>
    <t xml:space="preserve">Viburnum opulus  </t>
  </si>
  <si>
    <t>American Plum</t>
  </si>
  <si>
    <t xml:space="preserve">Prunus americana </t>
  </si>
  <si>
    <t>Black Chokeberry</t>
  </si>
  <si>
    <t>Black Elderberry</t>
  </si>
  <si>
    <t xml:space="preserve">Sambucus canadensis </t>
  </si>
  <si>
    <t>Blackhaw</t>
  </si>
  <si>
    <t xml:space="preserve">Viburnum prunifolium </t>
  </si>
  <si>
    <t>Chokecherry</t>
  </si>
  <si>
    <t>Gray Dogwood</t>
  </si>
  <si>
    <t>Sandbar Willow</t>
  </si>
  <si>
    <t>Winterberry</t>
  </si>
  <si>
    <t xml:space="preserve">Ilex verticillata </t>
  </si>
  <si>
    <t>American Linden, Basswood</t>
  </si>
  <si>
    <t>Big-tooth Aspen</t>
  </si>
  <si>
    <t>Bitternut Hickory</t>
  </si>
  <si>
    <t>Black Cherry</t>
  </si>
  <si>
    <t>Black Oak</t>
  </si>
  <si>
    <t>Black Walnut</t>
  </si>
  <si>
    <t>Butternut</t>
  </si>
  <si>
    <t>Chinkapin Oak</t>
  </si>
  <si>
    <t>Cottonwood</t>
  </si>
  <si>
    <t>Hackberry</t>
  </si>
  <si>
    <t>Kentucky Coffeetree</t>
  </si>
  <si>
    <t>Mockernut Hickory</t>
  </si>
  <si>
    <t>Northern Pecan</t>
  </si>
  <si>
    <t xml:space="preserve">Prunus serotina </t>
  </si>
  <si>
    <t xml:space="preserve">Quercus muehlenbergii </t>
  </si>
  <si>
    <t>Northern Pin Oak</t>
  </si>
  <si>
    <t xml:space="preserve">Quercus ellipsoidalis </t>
  </si>
  <si>
    <t>Pin Oak</t>
  </si>
  <si>
    <t>Quaking Aspen</t>
  </si>
  <si>
    <t>Red Oak</t>
  </si>
  <si>
    <t>River Birch</t>
  </si>
  <si>
    <t>Shagbark Hickory</t>
  </si>
  <si>
    <t>Shellbark Hickory</t>
  </si>
  <si>
    <t>Silver Maple</t>
  </si>
  <si>
    <t>Sycamore</t>
  </si>
  <si>
    <t>White Oak</t>
  </si>
  <si>
    <t>Cold moist stratification, Scarification</t>
  </si>
  <si>
    <t>Scarification</t>
  </si>
  <si>
    <t>Cold Moist stratification</t>
  </si>
  <si>
    <t xml:space="preserve">  </t>
  </si>
  <si>
    <t>Floristic Quality Index (FQI)</t>
  </si>
  <si>
    <t>Floristic quality index is below the required 20.0 minimum.</t>
  </si>
  <si>
    <t>Mix Conservatism (CC)</t>
  </si>
  <si>
    <t>Coefficient of Conservatism is below the required 3.0 minimum.</t>
  </si>
  <si>
    <t>Simpson's Evenness</t>
  </si>
  <si>
    <t>Conservatism Guilds:</t>
  </si>
  <si>
    <t>Early Successional</t>
  </si>
  <si>
    <t>Does not fall within the recommended range of 15-33%</t>
  </si>
  <si>
    <t>Mid-Successional</t>
  </si>
  <si>
    <t>Does not fall within the recommended range of 45-65%</t>
  </si>
  <si>
    <t>Late Successional</t>
  </si>
  <si>
    <t>Simpson's Evenness:</t>
  </si>
  <si>
    <r>
      <t xml:space="preserve">Evenness (balance) of the mix is recommended to be </t>
    </r>
    <r>
      <rPr>
        <u/>
        <sz val="10"/>
        <rFont val="Arial"/>
        <family val="2"/>
      </rPr>
      <t>&gt;</t>
    </r>
    <r>
      <rPr>
        <sz val="10"/>
        <rFont val="Arial"/>
        <family val="2"/>
      </rPr>
      <t xml:space="preserve"> 70%</t>
    </r>
  </si>
  <si>
    <r>
      <rPr>
        <u/>
        <sz val="10"/>
        <rFont val="Arial"/>
        <family val="2"/>
      </rPr>
      <t>&gt;</t>
    </r>
    <r>
      <rPr>
        <sz val="10"/>
        <rFont val="Arial"/>
        <family val="2"/>
      </rPr>
      <t xml:space="preserve"> 70%</t>
    </r>
  </si>
  <si>
    <t>Coefficient of Conservatism (CC)</t>
  </si>
  <si>
    <t>Criteria and Recommendation Methodology</t>
  </si>
  <si>
    <r>
      <t>Optional: Select the habitat type being restored.  This will filter the species list to only those species adapted to the chosen habitat type.</t>
    </r>
    <r>
      <rPr>
        <b/>
        <vertAlign val="superscript"/>
        <sz val="10"/>
        <rFont val="Arial"/>
        <family val="2"/>
      </rPr>
      <t>1,2,3,4,5,6</t>
    </r>
  </si>
  <si>
    <t>PLS Lbs</t>
  </si>
  <si>
    <t xml:space="preserve"> PLS Lbs</t>
  </si>
  <si>
    <t>PLS Lbs / Acre</t>
  </si>
  <si>
    <t>Recommendation Met</t>
  </si>
  <si>
    <t>Common Rivergrass</t>
  </si>
  <si>
    <t>Spring, Summer, Fall</t>
  </si>
  <si>
    <t xml:space="preserve">Castilleja coccinea  </t>
  </si>
  <si>
    <t>Cold moist stratification, light required for germination</t>
  </si>
  <si>
    <t>Cold Moist, Warm Moist, Cold Moist Stratification</t>
  </si>
  <si>
    <t>Cold Moist Stratification, Scarification</t>
  </si>
  <si>
    <r>
      <t>Forb &amp; Sub-shrub PLS Seeds/ft</t>
    </r>
    <r>
      <rPr>
        <vertAlign val="superscript"/>
        <sz val="10"/>
        <rFont val="Arial"/>
        <family val="2"/>
      </rPr>
      <t>2</t>
    </r>
    <r>
      <rPr>
        <sz val="10"/>
        <rFont val="Arial"/>
        <family val="2"/>
      </rPr>
      <t>, Minimum</t>
    </r>
  </si>
  <si>
    <r>
      <t>Grass PLS Seeds/ft</t>
    </r>
    <r>
      <rPr>
        <vertAlign val="superscript"/>
        <sz val="10"/>
        <rFont val="Arial"/>
        <family val="2"/>
      </rPr>
      <t>2</t>
    </r>
    <r>
      <rPr>
        <sz val="10"/>
        <rFont val="Arial"/>
        <family val="2"/>
      </rPr>
      <t>, Maximum</t>
    </r>
  </si>
  <si>
    <r>
      <t>Total PLS Seeds/ft</t>
    </r>
    <r>
      <rPr>
        <vertAlign val="superscript"/>
        <sz val="10"/>
        <rFont val="Arial"/>
        <family val="2"/>
      </rPr>
      <t>2</t>
    </r>
    <r>
      <rPr>
        <sz val="10"/>
        <rFont val="Arial"/>
        <family val="2"/>
      </rPr>
      <t>, Minimum</t>
    </r>
  </si>
  <si>
    <t>Iowa NRCS 327 Conservation Cover and Pollinator Habitat Jobsheet Requirements</t>
  </si>
  <si>
    <r>
      <t>% Grass Seeds/ft</t>
    </r>
    <r>
      <rPr>
        <vertAlign val="superscript"/>
        <sz val="10"/>
        <rFont val="Arial"/>
        <family val="2"/>
      </rPr>
      <t>2</t>
    </r>
    <r>
      <rPr>
        <sz val="10"/>
        <rFont val="Arial"/>
        <family val="2"/>
      </rPr>
      <t>, Minimum</t>
    </r>
  </si>
  <si>
    <r>
      <t>% Annual &amp; Biennial Forb PLS seeds/ft</t>
    </r>
    <r>
      <rPr>
        <vertAlign val="superscript"/>
        <sz val="10"/>
        <rFont val="Arial"/>
        <family val="2"/>
      </rPr>
      <t>2</t>
    </r>
    <r>
      <rPr>
        <sz val="10"/>
        <rFont val="Arial"/>
        <family val="2"/>
      </rPr>
      <t xml:space="preserve"> Max.</t>
    </r>
  </si>
  <si>
    <t>Additional Requirements for Forb and Grass Mixes</t>
  </si>
  <si>
    <t>Additional Requriements for Forb Only Mixes</t>
  </si>
  <si>
    <t>Spring or Dormant Seeded Sites</t>
  </si>
  <si>
    <t>Conservation Reserve Program (CRP) Pollinator Habitat Requirements</t>
  </si>
  <si>
    <r>
      <t>% Grass Seeds/ft</t>
    </r>
    <r>
      <rPr>
        <vertAlign val="superscript"/>
        <sz val="10"/>
        <rFont val="Arial"/>
        <family val="2"/>
      </rPr>
      <t>2</t>
    </r>
    <r>
      <rPr>
        <sz val="10"/>
        <rFont val="Arial"/>
        <family val="2"/>
      </rPr>
      <t>, Minimum</t>
    </r>
  </si>
  <si>
    <r>
      <t>% Grass seeds/ft</t>
    </r>
    <r>
      <rPr>
        <vertAlign val="superscript"/>
        <sz val="10"/>
        <rFont val="Arial"/>
        <family val="2"/>
      </rPr>
      <t>2</t>
    </r>
    <r>
      <rPr>
        <sz val="10"/>
        <rFont val="Arial"/>
        <family val="2"/>
      </rPr>
      <t>, Minimum</t>
    </r>
  </si>
  <si>
    <r>
      <t>% Annual &amp; Biennial Forb Seeds/ft</t>
    </r>
    <r>
      <rPr>
        <vertAlign val="superscript"/>
        <sz val="10"/>
        <rFont val="Arial"/>
        <family val="2"/>
      </rPr>
      <t>2</t>
    </r>
    <r>
      <rPr>
        <sz val="10"/>
        <rFont val="Arial"/>
        <family val="2"/>
      </rPr>
      <t>, Max.</t>
    </r>
  </si>
  <si>
    <r>
      <t>Graminoid Seeds/ft</t>
    </r>
    <r>
      <rPr>
        <vertAlign val="superscript"/>
        <sz val="10"/>
        <rFont val="Arial"/>
        <family val="2"/>
      </rPr>
      <t>2</t>
    </r>
    <r>
      <rPr>
        <sz val="10"/>
        <rFont val="Arial"/>
        <family val="2"/>
      </rPr>
      <t>, Minimum</t>
    </r>
  </si>
  <si>
    <r>
      <t>Forb, Sub-shrub, &amp; Shrub PLS Seeds/ft</t>
    </r>
    <r>
      <rPr>
        <vertAlign val="superscript"/>
        <sz val="10"/>
        <rFont val="Arial"/>
        <family val="2"/>
      </rPr>
      <t>2</t>
    </r>
    <r>
      <rPr>
        <sz val="10"/>
        <rFont val="Arial"/>
        <family val="2"/>
      </rPr>
      <t>, Min.</t>
    </r>
  </si>
  <si>
    <t>Optional: Select whether this mix is being developed for a short or long-term restoration.  Some species are highly conservative, rare, or expensive and may not be suitable for short-term restoration projects.  If this is the case, selecting the short-term option will filter the species list to species of average or below average cost.  Conversely, selecting no option or the long-term option will result in access to the complete list of species regardless of cost.</t>
  </si>
  <si>
    <r>
      <t xml:space="preserve">5. As the seed mix is developed, the data is automatically transferred to a IA CPA 4 Seeding Plan.  Click on the Seeding Plan tab at the bottom of the page to view the IA CPA 4.  Complete the appropriate site description, acres to be seeded, fertilizer requirements, seeding dates, and additional seeding information.  To hide blank rows in the seeding plan, click the </t>
    </r>
    <r>
      <rPr>
        <b/>
        <i/>
        <sz val="10"/>
        <rFont val="Arial"/>
        <family val="2"/>
      </rPr>
      <t>hide extra rows</t>
    </r>
    <r>
      <rPr>
        <b/>
        <sz val="10"/>
        <rFont val="Arial"/>
        <family val="2"/>
      </rPr>
      <t xml:space="preserve"> button.  To hide estimated costs, click the </t>
    </r>
    <r>
      <rPr>
        <b/>
        <i/>
        <sz val="10"/>
        <rFont val="Arial"/>
        <family val="2"/>
      </rPr>
      <t>hide cost information</t>
    </r>
    <r>
      <rPr>
        <b/>
        <sz val="10"/>
        <rFont val="Arial"/>
        <family val="2"/>
      </rPr>
      <t xml:space="preserve"> button.</t>
    </r>
  </si>
  <si>
    <t>6.  Check sheets for Pollinator Mixes, the 327 Conservation Cover Standard, and the 643 Restoration and Management of Rare and Declining Habitats Standard can be found on the last three tabs of the IA Native Seeding Calculator Workbook.  These check sheets will aid the user in ensuring that mixes meet applicable NRCS Standards and program requirements.</t>
  </si>
  <si>
    <t>Additional requirements for spring or dormant seeded sites on &gt;5% slope.</t>
  </si>
  <si>
    <r>
      <t xml:space="preserve">Additional requirements for spring or dormant seeded sites on </t>
    </r>
    <r>
      <rPr>
        <b/>
        <u/>
        <sz val="10"/>
        <rFont val="Arial"/>
        <family val="2"/>
      </rPr>
      <t>&lt;</t>
    </r>
    <r>
      <rPr>
        <b/>
        <sz val="10"/>
        <rFont val="Arial"/>
        <family val="2"/>
      </rPr>
      <t xml:space="preserve"> 5% slope or &gt;5% slope that will be no-till drilled into existing sod.</t>
    </r>
  </si>
  <si>
    <t>Additional requirements for wildlife plantings</t>
  </si>
  <si>
    <t>Additional requirements for spring or dormant seeded sites on &gt; 5% slope.</t>
  </si>
  <si>
    <t>Additional requirements for frost seeded sites on &gt; 5% slope.</t>
  </si>
  <si>
    <t>Additional requirements for frost seeded sites on &gt;5% slope.</t>
  </si>
  <si>
    <t>*Long-term Plantings (&gt;15 years) or plantings within 1-mile of remnants must be seeded with local ecotype or source identified seed.</t>
  </si>
  <si>
    <r>
      <t>Switchgrass Seeds/ft</t>
    </r>
    <r>
      <rPr>
        <vertAlign val="superscript"/>
        <sz val="10"/>
        <rFont val="Arial"/>
        <family val="2"/>
      </rPr>
      <t>2</t>
    </r>
    <r>
      <rPr>
        <sz val="10"/>
        <rFont val="Arial"/>
        <family val="2"/>
      </rPr>
      <t>, Maximum</t>
    </r>
  </si>
  <si>
    <r>
      <t>Canada Wildrye Seeds/ft</t>
    </r>
    <r>
      <rPr>
        <vertAlign val="superscript"/>
        <sz val="10"/>
        <rFont val="Arial"/>
        <family val="2"/>
      </rPr>
      <t>2</t>
    </r>
    <r>
      <rPr>
        <sz val="10"/>
        <rFont val="Arial"/>
        <family val="2"/>
      </rPr>
      <t>, Maximum</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</si>
  <si>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</si>
  <si>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</si>
  <si>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</si>
  <si>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 or &gt;5% slope.</t>
    </r>
  </si>
  <si>
    <t>Revised March 23, 2011</t>
  </si>
</sst>
</file>

<file path=xl/styles.xml><?xml version="1.0" encoding="utf-8"?>
<styleSheet xmlns="http://schemas.openxmlformats.org/spreadsheetml/2006/main">
  <numFmts count="10">
    <numFmt numFmtId="44" formatCode="_(&quot;$&quot;* #,##0.00_);_(&quot;$&quot;* \(#,##0.00\);_(&quot;$&quot;* &quot;-&quot;??_);_(@_)"/>
    <numFmt numFmtId="164" formatCode="#,##0.000"/>
    <numFmt numFmtId="165" formatCode="&quot;$&quot;#,##0.00"/>
    <numFmt numFmtId="166" formatCode="0.000"/>
    <numFmt numFmtId="167" formatCode="0.0"/>
    <numFmt numFmtId="168" formatCode="&quot;$&quot;#,##0"/>
    <numFmt numFmtId="169" formatCode="mmmm\-yy"/>
    <numFmt numFmtId="170" formatCode="0.0%"/>
    <numFmt numFmtId="171" formatCode="_(&quot;$&quot;* #,##0.000000_);_(&quot;$&quot;* \(#,##0.000000\);_(&quot;$&quot;* &quot;-&quot;??_);_(@_)"/>
    <numFmt numFmtId="172" formatCode="0.0000"/>
  </numFmts>
  <fonts count="74">
    <font>
      <sz val="10"/>
      <name val="Arial"/>
    </font>
    <font>
      <sz val="10"/>
      <name val="Arial"/>
      <family val="2"/>
    </font>
    <font>
      <sz val="10"/>
      <name val="Arial"/>
      <family val="2"/>
    </font>
    <font>
      <sz val="10"/>
      <color indexed="10"/>
      <name val="Arial"/>
      <family val="2"/>
    </font>
    <font>
      <sz val="10"/>
      <color indexed="11"/>
      <name val="Arial"/>
      <family val="2"/>
    </font>
    <font>
      <b/>
      <sz val="10"/>
      <name val="Arial"/>
      <family val="2"/>
    </font>
    <font>
      <b/>
      <sz val="12"/>
      <name val="Arial"/>
      <family val="2"/>
    </font>
    <font>
      <sz val="10"/>
      <color indexed="8"/>
      <name val="Arial"/>
      <family val="2"/>
    </font>
    <font>
      <vertAlign val="superscript"/>
      <sz val="10"/>
      <name val="Arial"/>
      <family val="2"/>
    </font>
    <font>
      <b/>
      <sz val="10"/>
      <color indexed="12"/>
      <name val="Arial"/>
      <family val="2"/>
    </font>
    <font>
      <b/>
      <sz val="10"/>
      <color indexed="17"/>
      <name val="Arial"/>
      <family val="2"/>
    </font>
    <font>
      <b/>
      <sz val="10"/>
      <color indexed="17"/>
      <name val="Symbol"/>
      <family val="1"/>
      <charset val="2"/>
    </font>
    <font>
      <b/>
      <sz val="10"/>
      <color indexed="10"/>
      <name val="Arial"/>
      <family val="2"/>
    </font>
    <font>
      <sz val="10"/>
      <color indexed="9"/>
      <name val="Arial"/>
      <family val="2"/>
    </font>
    <font>
      <b/>
      <sz val="24"/>
      <name val="Arial"/>
      <family val="2"/>
    </font>
    <font>
      <b/>
      <sz val="22"/>
      <name val="Arial"/>
      <family val="2"/>
    </font>
    <font>
      <sz val="8"/>
      <name val="Arial"/>
      <family val="2"/>
    </font>
    <font>
      <b/>
      <sz val="8"/>
      <name val="Arial"/>
      <family val="2"/>
    </font>
    <font>
      <u/>
      <sz val="8"/>
      <name val="Arial"/>
      <family val="2"/>
    </font>
    <font>
      <sz val="9"/>
      <name val="Arial"/>
      <family val="2"/>
    </font>
    <font>
      <sz val="22"/>
      <name val="Arial"/>
      <family val="2"/>
    </font>
    <font>
      <sz val="16"/>
      <name val="Arial"/>
      <family val="2"/>
    </font>
    <font>
      <b/>
      <sz val="9"/>
      <name val="Arial"/>
      <family val="2"/>
    </font>
    <font>
      <b/>
      <u/>
      <sz val="8"/>
      <name val="Arial"/>
      <family val="2"/>
    </font>
    <font>
      <b/>
      <sz val="14"/>
      <name val="Arial"/>
      <family val="2"/>
    </font>
    <font>
      <b/>
      <i/>
      <sz val="10"/>
      <color indexed="10"/>
      <name val="Arial"/>
      <family val="2"/>
    </font>
    <font>
      <u/>
      <sz val="10"/>
      <color indexed="12"/>
      <name val="Arial"/>
      <family val="2"/>
    </font>
    <font>
      <sz val="8"/>
      <name val="Arial"/>
      <family val="2"/>
    </font>
    <font>
      <b/>
      <vertAlign val="superscript"/>
      <sz val="10"/>
      <name val="Arial"/>
      <family val="2"/>
    </font>
    <font>
      <sz val="10"/>
      <color indexed="81"/>
      <name val="Tahoma"/>
      <family val="2"/>
    </font>
    <font>
      <sz val="10"/>
      <color indexed="8"/>
      <name val="Arial"/>
      <family val="2"/>
    </font>
    <font>
      <i/>
      <sz val="10"/>
      <name val="Arial"/>
      <family val="2"/>
    </font>
    <font>
      <i/>
      <u/>
      <sz val="10"/>
      <color indexed="12"/>
      <name val="Arial"/>
      <family val="2"/>
    </font>
    <font>
      <sz val="10"/>
      <color indexed="63"/>
      <name val="Arial"/>
      <family val="2"/>
    </font>
    <font>
      <i/>
      <sz val="10"/>
      <color indexed="63"/>
      <name val="Arial"/>
      <family val="2"/>
    </font>
    <font>
      <sz val="12"/>
      <name val="Times New Roman"/>
      <family val="1"/>
    </font>
    <font>
      <sz val="12"/>
      <name val="Arial"/>
      <family val="2"/>
    </font>
    <font>
      <sz val="8"/>
      <name val="Tahoma"/>
      <family val="2"/>
    </font>
    <font>
      <sz val="8"/>
      <color indexed="81"/>
      <name val="Tahoma"/>
      <family val="2"/>
    </font>
    <font>
      <b/>
      <vertAlign val="superscript"/>
      <sz val="12"/>
      <name val="Arial"/>
      <family val="2"/>
    </font>
    <font>
      <b/>
      <sz val="10"/>
      <color indexed="60"/>
      <name val="Arial"/>
      <family val="2"/>
    </font>
    <font>
      <b/>
      <u/>
      <sz val="10"/>
      <name val="Arial"/>
      <family val="2"/>
    </font>
    <font>
      <b/>
      <i/>
      <sz val="10"/>
      <name val="Arial"/>
      <family val="2"/>
    </font>
    <font>
      <sz val="10"/>
      <name val="Arial"/>
      <family val="2"/>
    </font>
    <font>
      <b/>
      <sz val="10"/>
      <color indexed="57"/>
      <name val="Arial"/>
      <family val="2"/>
    </font>
    <font>
      <b/>
      <vertAlign val="superscript"/>
      <sz val="10"/>
      <color indexed="57"/>
      <name val="Arial"/>
      <family val="2"/>
    </font>
    <font>
      <b/>
      <sz val="10"/>
      <color indexed="18"/>
      <name val="Arial"/>
      <family val="2"/>
    </font>
    <font>
      <sz val="7"/>
      <name val="Verdana"/>
      <family val="2"/>
    </font>
    <font>
      <i/>
      <sz val="7"/>
      <name val="Verdana"/>
      <family val="2"/>
    </font>
    <font>
      <sz val="10"/>
      <color indexed="12"/>
      <name val="Arial"/>
      <family val="2"/>
    </font>
    <font>
      <b/>
      <sz val="11"/>
      <name val="Arial"/>
      <family val="2"/>
    </font>
    <font>
      <u/>
      <sz val="10"/>
      <name val="Arial"/>
      <family val="2"/>
    </font>
    <font>
      <i/>
      <sz val="12"/>
      <name val="Arial"/>
      <family val="2"/>
    </font>
    <font>
      <b/>
      <sz val="10"/>
      <color indexed="43"/>
      <name val="Arial"/>
      <family val="2"/>
    </font>
    <font>
      <sz val="10"/>
      <color indexed="53"/>
      <name val="Arial"/>
      <family val="2"/>
    </font>
    <font>
      <sz val="10"/>
      <color theme="0"/>
      <name val="Arial"/>
      <family val="2"/>
    </font>
    <font>
      <sz val="10"/>
      <color theme="6" tint="-0.249977111117893"/>
      <name val="Arial"/>
      <family val="2"/>
    </font>
    <font>
      <b/>
      <sz val="10"/>
      <color theme="6" tint="-0.249977111117893"/>
      <name val="Arial"/>
      <family val="2"/>
    </font>
    <font>
      <b/>
      <sz val="10"/>
      <color theme="6" tint="-0.499984740745262"/>
      <name val="Arial"/>
      <family val="2"/>
    </font>
    <font>
      <sz val="10"/>
      <color theme="6" tint="-0.499984740745262"/>
      <name val="Arial"/>
      <family val="2"/>
    </font>
    <font>
      <sz val="8"/>
      <color theme="0"/>
      <name val="Arial"/>
      <family val="2"/>
    </font>
    <font>
      <b/>
      <sz val="10"/>
      <color rgb="FFC00000"/>
      <name val="Arial"/>
      <family val="2"/>
    </font>
    <font>
      <strike/>
      <sz val="10"/>
      <color rgb="FFFF0000"/>
      <name val="Arial"/>
      <family val="2"/>
    </font>
    <font>
      <i/>
      <sz val="10"/>
      <color rgb="FFFF0000"/>
      <name val="Arial"/>
      <family val="2"/>
    </font>
    <font>
      <strike/>
      <sz val="10"/>
      <color rgb="FF92D050"/>
      <name val="Arial"/>
      <family val="2"/>
    </font>
    <font>
      <sz val="10"/>
      <color rgb="FFFF0000"/>
      <name val="Arial"/>
      <family val="2"/>
    </font>
    <font>
      <sz val="10"/>
      <color theme="9"/>
      <name val="Arial"/>
      <family val="2"/>
    </font>
    <font>
      <i/>
      <u/>
      <sz val="10"/>
      <color theme="6" tint="-0.499984740745262"/>
      <name val="Arial"/>
      <family val="2"/>
    </font>
    <font>
      <i/>
      <sz val="10"/>
      <color theme="6" tint="-0.499984740745262"/>
      <name val="Arial"/>
      <family val="2"/>
    </font>
    <font>
      <sz val="10"/>
      <color theme="0" tint="-0.249977111117893"/>
      <name val="Arial"/>
      <family val="2"/>
    </font>
    <font>
      <b/>
      <sz val="10"/>
      <color theme="0" tint="-0.249977111117893"/>
      <name val="Arial"/>
      <family val="2"/>
    </font>
    <font>
      <b/>
      <sz val="10"/>
      <color theme="0" tint="-0.249977111117893"/>
      <name val="Symbol"/>
      <family val="1"/>
      <charset val="2"/>
    </font>
    <font>
      <sz val="10"/>
      <color theme="1"/>
      <name val="Arial"/>
      <family val="2"/>
    </font>
    <font>
      <b/>
      <sz val="12"/>
      <color theme="0"/>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6" tint="-0.249977111117893"/>
        <bgColor indexed="64"/>
      </patternFill>
    </fill>
    <fill>
      <patternFill patternType="solid">
        <fgColor theme="0" tint="-0.14999847407452621"/>
        <bgColor indexed="64"/>
      </patternFill>
    </fill>
  </fills>
  <borders count="8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
      <left style="medium">
        <color theme="6" tint="-0.499984740745262"/>
      </left>
      <right style="medium">
        <color theme="6" tint="-0.499984740745262"/>
      </right>
      <top/>
      <bottom style="medium">
        <color theme="6" tint="-0.499984740745262"/>
      </bottom>
      <diagonal/>
    </border>
    <border>
      <left/>
      <right style="medium">
        <color theme="6" tint="-0.499984740745262"/>
      </right>
      <top/>
      <bottom style="medium">
        <color theme="6" tint="-0.499984740745262"/>
      </bottom>
      <diagonal/>
    </border>
    <border>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theme="6" tint="-0.499984740745262"/>
      </left>
      <right/>
      <top style="medium">
        <color theme="6" tint="-0.499984740745262"/>
      </top>
      <bottom style="medium">
        <color theme="6" tint="-0.499984740745262"/>
      </bottom>
      <diagonal/>
    </border>
    <border>
      <left/>
      <right style="thin">
        <color theme="6" tint="-0.499984740745262"/>
      </right>
      <top style="medium">
        <color theme="6" tint="-0.499984740745262"/>
      </top>
      <bottom style="medium">
        <color theme="6" tint="-0.499984740745262"/>
      </bottom>
      <diagonal/>
    </border>
    <border>
      <left style="thin">
        <color indexed="64"/>
      </left>
      <right style="thin">
        <color indexed="64"/>
      </right>
      <top style="medium">
        <color theme="6" tint="-0.499984740745262"/>
      </top>
      <bottom/>
      <diagonal/>
    </border>
    <border>
      <left/>
      <right/>
      <top style="medium">
        <color theme="6" tint="-0.499984740745262"/>
      </top>
      <bottom/>
      <diagonal/>
    </border>
    <border>
      <left/>
      <right style="thin">
        <color theme="6" tint="-0.499984740745262"/>
      </right>
      <top/>
      <bottom style="thin">
        <color theme="6" tint="-0.499984740745262"/>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bottom style="thin">
        <color theme="6" tint="-0.499984740745262"/>
      </bottom>
      <diagonal/>
    </border>
    <border>
      <left/>
      <right style="thin">
        <color theme="6" tint="-0.499984740745262"/>
      </right>
      <top/>
      <bottom/>
      <diagonal/>
    </border>
    <border>
      <left style="thin">
        <color theme="6" tint="-0.499984740745262"/>
      </left>
      <right/>
      <top/>
      <bottom/>
      <diagonal/>
    </border>
    <border>
      <left style="thin">
        <color theme="6" tint="-0.499984740745262"/>
      </left>
      <right/>
      <top/>
      <bottom style="thin">
        <color theme="6" tint="-0.499984740745262"/>
      </bottom>
      <diagonal/>
    </border>
    <border>
      <left style="thin">
        <color theme="6" tint="-0.499984740745262"/>
      </left>
      <right style="thin">
        <color theme="6" tint="-0.499984740745262"/>
      </right>
      <top style="thin">
        <color theme="6" tint="-0.499984740745262"/>
      </top>
      <bottom style="double">
        <color theme="6" tint="-0.499984740745262"/>
      </bottom>
      <diagonal/>
    </border>
    <border>
      <left style="thin">
        <color theme="6" tint="-0.249977111117893"/>
      </left>
      <right style="thin">
        <color theme="6" tint="-0.249977111117893"/>
      </right>
      <top style="thin">
        <color theme="6" tint="-0.249977111117893"/>
      </top>
      <bottom style="thin">
        <color theme="6" tint="-0.249977111117893"/>
      </bottom>
      <diagonal/>
    </border>
    <border>
      <left style="thin">
        <color theme="6" tint="-0.249977111117893"/>
      </left>
      <right/>
      <top style="thin">
        <color theme="6" tint="-0.249977111117893"/>
      </top>
      <bottom style="thin">
        <color theme="6" tint="-0.249977111117893"/>
      </bottom>
      <diagonal/>
    </border>
    <border>
      <left/>
      <right/>
      <top style="thin">
        <color theme="6" tint="-0.249977111117893"/>
      </top>
      <bottom style="thin">
        <color theme="6" tint="-0.249977111117893"/>
      </bottom>
      <diagonal/>
    </border>
    <border>
      <left/>
      <right style="thin">
        <color theme="6" tint="-0.249977111117893"/>
      </right>
      <top style="thin">
        <color theme="6" tint="-0.249977111117893"/>
      </top>
      <bottom style="thin">
        <color theme="6" tint="-0.249977111117893"/>
      </bottom>
      <diagonal/>
    </border>
    <border>
      <left style="thin">
        <color theme="6" tint="-0.499984740745262"/>
      </left>
      <right style="thin">
        <color theme="6" tint="-0.499984740745262"/>
      </right>
      <top style="thin">
        <color theme="6" tint="-0.499984740745262"/>
      </top>
      <bottom/>
      <diagonal/>
    </border>
    <border>
      <left/>
      <right/>
      <top/>
      <bottom style="medium">
        <color theme="6" tint="-0.249977111117893"/>
      </bottom>
      <diagonal/>
    </border>
    <border>
      <left style="thin">
        <color theme="6" tint="-0.499984740745262"/>
      </left>
      <right/>
      <top style="double">
        <color theme="6" tint="-0.499984740745262"/>
      </top>
      <bottom style="thin">
        <color theme="6" tint="-0.499984740745262"/>
      </bottom>
      <diagonal/>
    </border>
    <border>
      <left/>
      <right/>
      <top style="double">
        <color theme="6" tint="-0.499984740745262"/>
      </top>
      <bottom style="thin">
        <color theme="6" tint="-0.499984740745262"/>
      </bottom>
      <diagonal/>
    </border>
    <border>
      <left/>
      <right style="thin">
        <color theme="6" tint="-0.499984740745262"/>
      </right>
      <top style="double">
        <color theme="6" tint="-0.499984740745262"/>
      </top>
      <bottom style="thin">
        <color theme="6" tint="-0.499984740745262"/>
      </bottom>
      <diagonal/>
    </border>
    <border>
      <left style="medium">
        <color theme="6" tint="-0.499984740745262"/>
      </left>
      <right style="medium">
        <color theme="6" tint="-0.499984740745262"/>
      </right>
      <top/>
      <bottom/>
      <diagonal/>
    </border>
    <border>
      <left style="thin">
        <color indexed="64"/>
      </left>
      <right style="medium">
        <color theme="6" tint="-0.499984740745262"/>
      </right>
      <top style="thin">
        <color indexed="64"/>
      </top>
      <bottom/>
      <diagonal/>
    </border>
    <border>
      <left style="thin">
        <color indexed="64"/>
      </left>
      <right style="medium">
        <color theme="6" tint="-0.499984740745262"/>
      </right>
      <top/>
      <bottom style="medium">
        <color theme="6" tint="-0.499984740745262"/>
      </bottom>
      <diagonal/>
    </border>
    <border>
      <left style="thin">
        <color theme="6" tint="-0.499984740745262"/>
      </left>
      <right/>
      <top style="thin">
        <color theme="6" tint="-0.499984740745262"/>
      </top>
      <bottom style="double">
        <color theme="6" tint="-0.499984740745262"/>
      </bottom>
      <diagonal/>
    </border>
    <border>
      <left/>
      <right/>
      <top style="thin">
        <color theme="6" tint="-0.499984740745262"/>
      </top>
      <bottom style="double">
        <color theme="6" tint="-0.499984740745262"/>
      </bottom>
      <diagonal/>
    </border>
    <border>
      <left/>
      <right style="thin">
        <color theme="6" tint="-0.499984740745262"/>
      </right>
      <top style="thin">
        <color theme="6" tint="-0.499984740745262"/>
      </top>
      <bottom style="double">
        <color theme="6" tint="-0.499984740745262"/>
      </bottom>
      <diagonal/>
    </border>
    <border>
      <left/>
      <right/>
      <top/>
      <bottom style="thin">
        <color theme="6" tint="-0.499984740745262"/>
      </bottom>
      <diagonal/>
    </border>
    <border>
      <left style="thin">
        <color theme="6" tint="-0.249977111117893"/>
      </left>
      <right/>
      <top/>
      <bottom style="thin">
        <color theme="6" tint="-0.249977111117893"/>
      </bottom>
      <diagonal/>
    </border>
    <border>
      <left/>
      <right/>
      <top/>
      <bottom style="thin">
        <color theme="6" tint="-0.249977111117893"/>
      </bottom>
      <diagonal/>
    </border>
    <border>
      <left style="thin">
        <color theme="6" tint="-0.499984740745262"/>
      </left>
      <right/>
      <top style="thin">
        <color theme="6" tint="-0.499984740745262"/>
      </top>
      <bottom style="thin">
        <color theme="6" tint="-0.499984740745262"/>
      </bottom>
      <diagonal/>
    </border>
    <border>
      <left/>
      <right/>
      <top style="thin">
        <color theme="6" tint="-0.499984740745262"/>
      </top>
      <bottom style="thin">
        <color theme="6" tint="-0.499984740745262"/>
      </bottom>
      <diagonal/>
    </border>
    <border>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bottom style="double">
        <color theme="6" tint="-0.499984740745262"/>
      </bottom>
      <diagonal/>
    </border>
    <border>
      <left style="thin">
        <color theme="6" tint="-0.499984740745262"/>
      </left>
      <right/>
      <top style="thin">
        <color theme="6" tint="-0.499984740745262"/>
      </top>
      <bottom/>
      <diagonal/>
    </border>
    <border>
      <left/>
      <right/>
      <top style="thin">
        <color theme="6" tint="-0.499984740745262"/>
      </top>
      <bottom/>
      <diagonal/>
    </border>
    <border>
      <left/>
      <right style="thin">
        <color theme="6" tint="-0.499984740745262"/>
      </right>
      <top style="thin">
        <color theme="6" tint="-0.499984740745262"/>
      </top>
      <bottom/>
      <diagonal/>
    </border>
    <border>
      <left style="thin">
        <color theme="6" tint="-0.499984740745262"/>
      </left>
      <right/>
      <top/>
      <bottom style="double">
        <color theme="6" tint="-0.499984740745262"/>
      </bottom>
      <diagonal/>
    </border>
    <border>
      <left/>
      <right/>
      <top/>
      <bottom style="double">
        <color theme="6" tint="-0.499984740745262"/>
      </bottom>
      <diagonal/>
    </border>
    <border>
      <left/>
      <right style="thin">
        <color theme="6" tint="-0.499984740745262"/>
      </right>
      <top/>
      <bottom style="double">
        <color theme="6" tint="-0.499984740745262"/>
      </bottom>
      <diagonal/>
    </border>
  </borders>
  <cellStyleXfs count="8">
    <xf numFmtId="0" fontId="0" fillId="0" borderId="0"/>
    <xf numFmtId="44" fontId="1" fillId="0" borderId="0" applyFont="0" applyFill="0" applyBorder="0" applyAlignment="0" applyProtection="0"/>
    <xf numFmtId="0" fontId="26" fillId="0" borderId="0" applyNumberFormat="0" applyFill="0" applyBorder="0" applyAlignment="0" applyProtection="0">
      <alignment vertical="top"/>
      <protection locked="0"/>
    </xf>
    <xf numFmtId="0" fontId="16" fillId="0" borderId="0"/>
    <xf numFmtId="0" fontId="30" fillId="0" borderId="0"/>
    <xf numFmtId="0" fontId="30" fillId="0" borderId="0"/>
    <xf numFmtId="0" fontId="30" fillId="0" borderId="0"/>
    <xf numFmtId="0" fontId="30" fillId="0" borderId="0"/>
  </cellStyleXfs>
  <cellXfs count="864">
    <xf numFmtId="0" fontId="0" fillId="0" borderId="0" xfId="0"/>
    <xf numFmtId="0" fontId="0" fillId="0" borderId="0" xfId="0" applyBorder="1"/>
    <xf numFmtId="0" fontId="0" fillId="0" borderId="0" xfId="0" applyAlignment="1">
      <alignment horizontal="center"/>
    </xf>
    <xf numFmtId="165" fontId="0" fillId="0" borderId="0" xfId="0" applyNumberFormat="1" applyAlignment="1">
      <alignment horizontal="center"/>
    </xf>
    <xf numFmtId="0" fontId="2" fillId="0" borderId="0" xfId="0" applyFont="1" applyBorder="1"/>
    <xf numFmtId="165" fontId="0" fillId="0" borderId="0" xfId="0" applyNumberFormat="1"/>
    <xf numFmtId="0" fontId="5" fillId="0" borderId="0" xfId="0" applyFont="1" applyAlignment="1">
      <alignment horizontal="center"/>
    </xf>
    <xf numFmtId="0" fontId="0" fillId="0" borderId="0" xfId="0" applyProtection="1">
      <protection locked="0"/>
    </xf>
    <xf numFmtId="0" fontId="11" fillId="0" borderId="0" xfId="0" applyFont="1"/>
    <xf numFmtId="0" fontId="5" fillId="0" borderId="0" xfId="0" applyFont="1" applyAlignment="1">
      <alignment horizontal="right"/>
    </xf>
    <xf numFmtId="0" fontId="0" fillId="0" borderId="0" xfId="0" applyFill="1" applyBorder="1"/>
    <xf numFmtId="0" fontId="6" fillId="0" borderId="0" xfId="0" applyFont="1"/>
    <xf numFmtId="0" fontId="0" fillId="0" borderId="0" xfId="0" applyProtection="1"/>
    <xf numFmtId="0" fontId="0" fillId="0" borderId="0" xfId="0" applyAlignment="1"/>
    <xf numFmtId="0" fontId="13" fillId="0" borderId="0" xfId="0" applyFont="1"/>
    <xf numFmtId="166" fontId="0" fillId="0" borderId="0" xfId="0" applyNumberFormat="1" applyBorder="1"/>
    <xf numFmtId="0" fontId="13" fillId="0" borderId="0" xfId="0" applyFont="1" applyBorder="1"/>
    <xf numFmtId="0" fontId="0" fillId="2" borderId="0" xfId="0" applyFill="1" applyBorder="1" applyAlignment="1">
      <alignment horizontal="center"/>
    </xf>
    <xf numFmtId="0" fontId="16" fillId="2" borderId="0" xfId="0" applyFont="1" applyFill="1"/>
    <xf numFmtId="0" fontId="0" fillId="2" borderId="0" xfId="0" applyFill="1"/>
    <xf numFmtId="0" fontId="0" fillId="0" borderId="0" xfId="0" applyFill="1" applyBorder="1" applyAlignment="1">
      <alignment horizont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19" fillId="2" borderId="0" xfId="0" applyFont="1" applyFill="1" applyBorder="1" applyAlignment="1">
      <alignment horizontal="right" vertical="center"/>
    </xf>
    <xf numFmtId="0" fontId="2" fillId="0" borderId="0" xfId="0" applyFont="1" applyFill="1" applyBorder="1" applyAlignment="1">
      <alignment horizontal="center"/>
    </xf>
    <xf numFmtId="165" fontId="2" fillId="0" borderId="0" xfId="1" applyNumberFormat="1" applyFont="1" applyBorder="1"/>
    <xf numFmtId="0" fontId="5" fillId="2" borderId="0" xfId="0" applyFont="1" applyFill="1" applyBorder="1" applyAlignment="1">
      <alignment horizontal="center"/>
    </xf>
    <xf numFmtId="0" fontId="5" fillId="2" borderId="0" xfId="0" applyFont="1" applyFill="1" applyBorder="1" applyAlignment="1">
      <alignment horizontal="center" vertical="center"/>
    </xf>
    <xf numFmtId="0" fontId="0" fillId="2" borderId="0" xfId="0" applyFill="1" applyBorder="1"/>
    <xf numFmtId="0" fontId="2" fillId="2" borderId="0" xfId="0" applyFont="1" applyFill="1" applyBorder="1" applyAlignment="1">
      <alignment horizontal="left"/>
    </xf>
    <xf numFmtId="0" fontId="0" fillId="0" borderId="0" xfId="0" applyFill="1"/>
    <xf numFmtId="0" fontId="2" fillId="0" borderId="0" xfId="0" applyFont="1" applyFill="1" applyBorder="1" applyAlignment="1">
      <alignment vertical="center"/>
    </xf>
    <xf numFmtId="0" fontId="0" fillId="0" borderId="0" xfId="0" applyBorder="1" applyAlignment="1">
      <alignment vertical="center"/>
    </xf>
    <xf numFmtId="0" fontId="2" fillId="0" borderId="0" xfId="0" applyFont="1" applyFill="1" applyBorder="1"/>
    <xf numFmtId="0" fontId="20" fillId="0" borderId="0" xfId="0" applyFont="1" applyFill="1" applyBorder="1" applyAlignment="1">
      <alignment horizontal="center"/>
    </xf>
    <xf numFmtId="0" fontId="20" fillId="0" borderId="0" xfId="0" applyFont="1" applyFill="1" applyBorder="1" applyAlignment="1">
      <alignment vertical="center"/>
    </xf>
    <xf numFmtId="0" fontId="0" fillId="0" borderId="0" xfId="0" applyFill="1" applyBorder="1" applyAlignment="1">
      <alignment vertical="center"/>
    </xf>
    <xf numFmtId="0" fontId="21" fillId="0" borderId="0" xfId="0" applyFont="1" applyFill="1" applyBorder="1" applyAlignment="1">
      <alignment vertical="center"/>
    </xf>
    <xf numFmtId="0" fontId="17" fillId="2" borderId="0" xfId="0" applyFont="1" applyFill="1"/>
    <xf numFmtId="0" fontId="0" fillId="2" borderId="0" xfId="0" applyFill="1" applyAlignment="1">
      <alignment horizontal="center"/>
    </xf>
    <xf numFmtId="0" fontId="23" fillId="2" borderId="0" xfId="0" applyFont="1" applyFill="1"/>
    <xf numFmtId="0" fontId="16" fillId="2" borderId="0" xfId="0" applyFont="1" applyFill="1" applyAlignment="1">
      <alignment horizontal="left"/>
    </xf>
    <xf numFmtId="0" fontId="0" fillId="2" borderId="1" xfId="0" applyFill="1" applyBorder="1"/>
    <xf numFmtId="0" fontId="17" fillId="0" borderId="0" xfId="0" applyFont="1" applyFill="1"/>
    <xf numFmtId="0" fontId="0" fillId="0" borderId="0" xfId="0" applyFill="1" applyAlignment="1">
      <alignment horizontal="center"/>
    </xf>
    <xf numFmtId="0" fontId="0" fillId="0" borderId="0" xfId="0" applyFill="1" applyBorder="1" applyAlignment="1"/>
    <xf numFmtId="0" fontId="17" fillId="0" borderId="0" xfId="0" applyFont="1" applyFill="1" applyBorder="1"/>
    <xf numFmtId="0" fontId="18" fillId="0" borderId="0" xfId="0" applyFont="1" applyFill="1" applyBorder="1"/>
    <xf numFmtId="0" fontId="23" fillId="0" borderId="0" xfId="0" applyFont="1" applyFill="1"/>
    <xf numFmtId="0" fontId="23" fillId="0" borderId="0" xfId="0" applyFont="1" applyFill="1" applyBorder="1"/>
    <xf numFmtId="0" fontId="18" fillId="0" borderId="0" xfId="0" applyFont="1" applyFill="1"/>
    <xf numFmtId="0" fontId="16" fillId="0" borderId="0" xfId="0" applyFont="1" applyFill="1" applyBorder="1" applyAlignment="1"/>
    <xf numFmtId="0" fontId="16" fillId="0" borderId="0" xfId="0" applyFont="1" applyFill="1" applyAlignment="1">
      <alignment horizontal="left"/>
    </xf>
    <xf numFmtId="0" fontId="19" fillId="0" borderId="0" xfId="0" applyFont="1" applyFill="1" applyAlignment="1">
      <alignment horizontal="justify" vertical="center"/>
    </xf>
    <xf numFmtId="0" fontId="18" fillId="0" borderId="0" xfId="0" applyFont="1" applyFill="1" applyBorder="1" applyAlignment="1"/>
    <xf numFmtId="0" fontId="16" fillId="0" borderId="0" xfId="0" applyFont="1" applyFill="1" applyBorder="1" applyAlignment="1">
      <alignment vertical="center"/>
    </xf>
    <xf numFmtId="0" fontId="13" fillId="0" borderId="0" xfId="0" applyFont="1" applyFill="1" applyBorder="1" applyAlignment="1">
      <alignment horizontal="center"/>
    </xf>
    <xf numFmtId="169" fontId="13" fillId="0" borderId="0" xfId="0" applyNumberFormat="1" applyFont="1" applyFill="1" applyBorder="1" applyAlignment="1">
      <alignment horizontal="center"/>
    </xf>
    <xf numFmtId="0" fontId="13" fillId="0" borderId="0" xfId="0" applyFont="1" applyBorder="1" applyAlignment="1">
      <alignment horizontal="center"/>
    </xf>
    <xf numFmtId="0" fontId="14" fillId="2" borderId="0" xfId="0" applyFont="1" applyFill="1" applyBorder="1" applyAlignment="1">
      <alignment horizontal="center"/>
    </xf>
    <xf numFmtId="0" fontId="15" fillId="2" borderId="0" xfId="0" applyFont="1" applyFill="1" applyBorder="1" applyAlignment="1">
      <alignment vertical="center"/>
    </xf>
    <xf numFmtId="0" fontId="2" fillId="2" borderId="0" xfId="0" applyFont="1" applyFill="1" applyBorder="1" applyAlignment="1">
      <alignment horizontal="left" vertical="center"/>
    </xf>
    <xf numFmtId="0" fontId="2" fillId="2" borderId="0" xfId="0" applyFont="1" applyFill="1" applyAlignment="1">
      <alignment horizontal="fill"/>
    </xf>
    <xf numFmtId="166" fontId="0" fillId="2" borderId="0" xfId="0" applyNumberFormat="1" applyFill="1" applyBorder="1"/>
    <xf numFmtId="0" fontId="5" fillId="2" borderId="1" xfId="0" applyFont="1" applyFill="1" applyBorder="1"/>
    <xf numFmtId="0" fontId="2" fillId="2" borderId="2" xfId="0" applyFont="1" applyFill="1" applyBorder="1" applyAlignment="1">
      <alignment horizontal="left"/>
    </xf>
    <xf numFmtId="0" fontId="2" fillId="2" borderId="3" xfId="0" applyFont="1" applyFill="1" applyBorder="1" applyAlignment="1">
      <alignment horizontal="left"/>
    </xf>
    <xf numFmtId="0" fontId="22" fillId="2" borderId="0" xfId="0" applyFont="1" applyFill="1" applyAlignment="1">
      <alignment vertical="center"/>
    </xf>
    <xf numFmtId="0" fontId="0" fillId="2" borderId="0" xfId="0" applyFill="1" applyBorder="1" applyAlignment="1">
      <alignment horizontal="right" vertical="center"/>
    </xf>
    <xf numFmtId="0" fontId="22" fillId="2" borderId="0" xfId="0" applyFont="1" applyFill="1" applyBorder="1" applyAlignment="1">
      <alignment horizontal="left"/>
    </xf>
    <xf numFmtId="0" fontId="18" fillId="2" borderId="0" xfId="0" applyFont="1" applyFill="1" applyBorder="1" applyAlignment="1"/>
    <xf numFmtId="0" fontId="5" fillId="2" borderId="4" xfId="0" applyFont="1" applyFill="1" applyBorder="1" applyAlignment="1">
      <alignment horizontal="center"/>
    </xf>
    <xf numFmtId="0" fontId="5" fillId="2" borderId="1" xfId="0" applyFont="1" applyFill="1" applyBorder="1" applyAlignment="1">
      <alignment horizontal="center"/>
    </xf>
    <xf numFmtId="169" fontId="0" fillId="2" borderId="0" xfId="0" applyNumberFormat="1" applyFill="1" applyBorder="1" applyAlignment="1">
      <alignment horizontal="center"/>
    </xf>
    <xf numFmtId="0" fontId="5"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14" fontId="5" fillId="2" borderId="4" xfId="0" applyNumberFormat="1" applyFont="1" applyFill="1" applyBorder="1" applyAlignment="1">
      <alignment horizontal="center" vertical="center"/>
    </xf>
    <xf numFmtId="0" fontId="5" fillId="2" borderId="0" xfId="0" applyFont="1" applyFill="1" applyBorder="1" applyAlignment="1" applyProtection="1">
      <alignment horizontal="center"/>
    </xf>
    <xf numFmtId="0" fontId="2" fillId="2" borderId="0" xfId="0" applyFont="1" applyFill="1" applyBorder="1" applyAlignment="1">
      <alignment vertical="center"/>
    </xf>
    <xf numFmtId="0" fontId="0" fillId="2" borderId="0" xfId="0" applyFill="1" applyBorder="1" applyAlignment="1">
      <alignment vertical="center"/>
    </xf>
    <xf numFmtId="0" fontId="2" fillId="2" borderId="0" xfId="0" applyFont="1" applyFill="1" applyBorder="1"/>
    <xf numFmtId="0" fontId="17" fillId="2" borderId="0" xfId="0" applyFont="1" applyFill="1" applyBorder="1"/>
    <xf numFmtId="166" fontId="11" fillId="0" borderId="0" xfId="0" applyNumberFormat="1" applyFont="1"/>
    <xf numFmtId="2" fontId="11" fillId="0" borderId="0" xfId="0" applyNumberFormat="1" applyFont="1"/>
    <xf numFmtId="0" fontId="5" fillId="2" borderId="0" xfId="0" applyFont="1" applyFill="1"/>
    <xf numFmtId="0" fontId="13" fillId="0" borderId="0" xfId="0" applyFont="1" applyBorder="1" applyAlignment="1">
      <alignment vertical="center"/>
    </xf>
    <xf numFmtId="0" fontId="0" fillId="2" borderId="8" xfId="0" applyFill="1" applyBorder="1"/>
    <xf numFmtId="0" fontId="5" fillId="2" borderId="8" xfId="0" applyFont="1" applyFill="1" applyBorder="1"/>
    <xf numFmtId="1" fontId="13" fillId="0" borderId="0" xfId="0" applyNumberFormat="1" applyFont="1" applyBorder="1"/>
    <xf numFmtId="0" fontId="13" fillId="0" borderId="0" xfId="0" applyFont="1" applyFill="1" applyBorder="1" applyAlignment="1">
      <alignment horizontal="center" vertical="center"/>
    </xf>
    <xf numFmtId="0" fontId="2" fillId="0" borderId="0" xfId="0" applyFont="1" applyFill="1" applyBorder="1" applyAlignment="1" applyProtection="1">
      <alignment horizontal="center" vertical="center"/>
      <protection locked="0"/>
    </xf>
    <xf numFmtId="0" fontId="0" fillId="0" borderId="0" xfId="0" applyBorder="1" applyAlignment="1" applyProtection="1">
      <alignment horizontal="center"/>
    </xf>
    <xf numFmtId="0" fontId="25" fillId="0" borderId="0" xfId="0" applyFont="1"/>
    <xf numFmtId="0" fontId="0" fillId="0" borderId="0" xfId="0" applyAlignment="1">
      <alignment wrapText="1"/>
    </xf>
    <xf numFmtId="0" fontId="0" fillId="0" borderId="0" xfId="0" applyBorder="1" applyAlignment="1">
      <alignment wrapText="1"/>
    </xf>
    <xf numFmtId="2" fontId="0" fillId="0" borderId="0" xfId="0" applyNumberFormat="1"/>
    <xf numFmtId="0" fontId="5" fillId="0" borderId="1" xfId="0" applyFont="1" applyBorder="1" applyAlignment="1" applyProtection="1">
      <alignment horizontal="center"/>
    </xf>
    <xf numFmtId="0" fontId="5" fillId="2" borderId="0" xfId="0" applyFont="1" applyFill="1" applyBorder="1"/>
    <xf numFmtId="166" fontId="0" fillId="0" borderId="9" xfId="0" applyNumberFormat="1" applyBorder="1" applyAlignment="1">
      <alignment horizontal="center"/>
    </xf>
    <xf numFmtId="167" fontId="0" fillId="0" borderId="9" xfId="0" applyNumberFormat="1" applyBorder="1" applyAlignment="1">
      <alignment horizontal="center"/>
    </xf>
    <xf numFmtId="0" fontId="32" fillId="0" borderId="9" xfId="2" applyFont="1" applyBorder="1" applyAlignment="1" applyProtection="1">
      <alignment horizontal="left" vertical="top"/>
    </xf>
    <xf numFmtId="0" fontId="35" fillId="0" borderId="0" xfId="0" applyFont="1"/>
    <xf numFmtId="0" fontId="3" fillId="0" borderId="0" xfId="0" applyFont="1" applyAlignment="1"/>
    <xf numFmtId="0" fontId="2" fillId="0" borderId="0" xfId="0" applyFont="1" applyAlignment="1"/>
    <xf numFmtId="0" fontId="34" fillId="0" borderId="9" xfId="2" applyFont="1" applyFill="1" applyBorder="1" applyAlignment="1" applyProtection="1">
      <alignment horizontal="left" vertical="top"/>
    </xf>
    <xf numFmtId="0" fontId="0" fillId="0" borderId="0" xfId="0" applyFill="1" applyAlignment="1"/>
    <xf numFmtId="0" fontId="34" fillId="0" borderId="9" xfId="2" applyFont="1" applyFill="1" applyBorder="1" applyAlignment="1" applyProtection="1"/>
    <xf numFmtId="0" fontId="0" fillId="0" borderId="0" xfId="0" applyBorder="1" applyAlignment="1"/>
    <xf numFmtId="0" fontId="3" fillId="0" borderId="0" xfId="0" applyFont="1" applyBorder="1" applyAlignment="1"/>
    <xf numFmtId="0" fontId="2" fillId="2" borderId="0" xfId="0" applyFont="1" applyFill="1"/>
    <xf numFmtId="0" fontId="6" fillId="0" borderId="0" xfId="0" applyFont="1" applyProtection="1"/>
    <xf numFmtId="0" fontId="34" fillId="0" borderId="9" xfId="2" applyFont="1" applyFill="1" applyBorder="1" applyAlignment="1" applyProtection="1">
      <alignment horizontal="center" vertical="top"/>
    </xf>
    <xf numFmtId="0" fontId="34" fillId="0" borderId="9" xfId="2" applyFont="1" applyFill="1" applyBorder="1" applyAlignment="1" applyProtection="1">
      <alignment horizontal="center"/>
    </xf>
    <xf numFmtId="0" fontId="0" fillId="0" borderId="10" xfId="0" applyBorder="1"/>
    <xf numFmtId="0" fontId="0" fillId="0" borderId="0" xfId="0" applyFont="1" applyFill="1" applyBorder="1"/>
    <xf numFmtId="0" fontId="31" fillId="0" borderId="9" xfId="0" applyFont="1" applyBorder="1" applyAlignment="1" applyProtection="1">
      <alignment horizontal="left"/>
    </xf>
    <xf numFmtId="0" fontId="11" fillId="0" borderId="0" xfId="0" applyFont="1" applyProtection="1"/>
    <xf numFmtId="0" fontId="13" fillId="0" borderId="0" xfId="0" applyFont="1" applyBorder="1" applyProtection="1">
      <protection locked="0"/>
    </xf>
    <xf numFmtId="0" fontId="34" fillId="0" borderId="9" xfId="4" applyFont="1" applyFill="1" applyBorder="1" applyAlignment="1" applyProtection="1">
      <alignment horizontal="center"/>
    </xf>
    <xf numFmtId="0" fontId="34" fillId="0" borderId="9" xfId="4" applyFont="1" applyFill="1" applyBorder="1" applyAlignment="1" applyProtection="1"/>
    <xf numFmtId="0" fontId="34" fillId="0" borderId="9" xfId="0" applyFont="1" applyFill="1" applyBorder="1" applyAlignment="1" applyProtection="1"/>
    <xf numFmtId="1" fontId="0" fillId="0" borderId="9" xfId="0" applyNumberFormat="1" applyBorder="1" applyAlignment="1">
      <alignment horizontal="center"/>
    </xf>
    <xf numFmtId="165" fontId="0" fillId="0" borderId="9" xfId="0" applyNumberFormat="1" applyBorder="1" applyAlignment="1" applyProtection="1">
      <alignment horizontal="center"/>
    </xf>
    <xf numFmtId="0" fontId="0" fillId="0" borderId="9" xfId="0" applyNumberFormat="1" applyBorder="1" applyAlignment="1">
      <alignment horizontal="center"/>
    </xf>
    <xf numFmtId="165" fontId="0" fillId="3" borderId="9" xfId="0" applyNumberFormat="1" applyFill="1" applyBorder="1" applyAlignment="1" applyProtection="1">
      <alignment horizontal="center"/>
      <protection locked="0"/>
    </xf>
    <xf numFmtId="0" fontId="0" fillId="0" borderId="11" xfId="0" quotePrefix="1" applyBorder="1" applyAlignment="1">
      <alignment horizontal="center"/>
    </xf>
    <xf numFmtId="0" fontId="0" fillId="0" borderId="11" xfId="0" applyBorder="1" applyAlignment="1">
      <alignment horizontal="center"/>
    </xf>
    <xf numFmtId="10" fontId="0" fillId="2" borderId="0" xfId="0" applyNumberFormat="1" applyFill="1" applyBorder="1"/>
    <xf numFmtId="165" fontId="0" fillId="3" borderId="12" xfId="0" applyNumberFormat="1" applyFill="1" applyBorder="1" applyAlignment="1" applyProtection="1">
      <alignment horizontal="center"/>
      <protection locked="0"/>
    </xf>
    <xf numFmtId="0" fontId="13" fillId="0" borderId="0" xfId="0" applyFont="1" applyBorder="1" applyProtection="1"/>
    <xf numFmtId="1" fontId="0" fillId="0" borderId="9" xfId="0" applyNumberFormat="1" applyBorder="1" applyAlignment="1" applyProtection="1">
      <alignment horizontal="center"/>
    </xf>
    <xf numFmtId="0" fontId="10" fillId="0" borderId="0" xfId="0" applyFont="1" applyAlignment="1" applyProtection="1">
      <alignment horizontal="left"/>
      <protection locked="0"/>
    </xf>
    <xf numFmtId="1" fontId="0" fillId="0" borderId="13" xfId="0" applyNumberFormat="1" applyBorder="1" applyAlignment="1">
      <alignment horizontal="center"/>
    </xf>
    <xf numFmtId="9" fontId="0" fillId="0" borderId="9" xfId="0" applyNumberFormat="1" applyBorder="1" applyAlignment="1">
      <alignment horizontal="center"/>
    </xf>
    <xf numFmtId="0" fontId="55" fillId="0" borderId="0" xfId="0" applyFont="1" applyProtection="1">
      <protection locked="0"/>
    </xf>
    <xf numFmtId="0" fontId="55" fillId="0" borderId="0" xfId="0" applyFont="1"/>
    <xf numFmtId="168" fontId="0" fillId="0" borderId="9" xfId="0" applyNumberFormat="1" applyBorder="1" applyAlignment="1" applyProtection="1">
      <alignment horizontal="center"/>
      <protection locked="0"/>
    </xf>
    <xf numFmtId="170" fontId="0" fillId="0" borderId="11" xfId="0" applyNumberFormat="1" applyBorder="1" applyAlignment="1">
      <alignment horizontal="center"/>
    </xf>
    <xf numFmtId="170" fontId="0" fillId="0" borderId="9" xfId="0" applyNumberFormat="1" applyBorder="1" applyAlignment="1">
      <alignment horizontal="center"/>
    </xf>
    <xf numFmtId="168" fontId="0" fillId="0" borderId="13" xfId="0" applyNumberFormat="1" applyBorder="1" applyAlignment="1">
      <alignment horizontal="center"/>
    </xf>
    <xf numFmtId="168" fontId="0" fillId="0" borderId="11" xfId="0" applyNumberFormat="1" applyBorder="1" applyAlignment="1">
      <alignment horizontal="center"/>
    </xf>
    <xf numFmtId="168" fontId="0" fillId="0" borderId="9" xfId="0" applyNumberFormat="1" applyBorder="1" applyAlignment="1">
      <alignment horizontal="center"/>
    </xf>
    <xf numFmtId="0" fontId="5" fillId="0" borderId="0" xfId="0" applyFont="1" applyAlignment="1">
      <alignment vertical="center"/>
    </xf>
    <xf numFmtId="0" fontId="5" fillId="0" borderId="0" xfId="0" applyFont="1" applyAlignment="1" applyProtection="1">
      <alignment vertical="center"/>
      <protection locked="0"/>
    </xf>
    <xf numFmtId="0" fontId="5" fillId="0" borderId="9" xfId="0" applyFont="1" applyBorder="1" applyProtection="1">
      <protection locked="0"/>
    </xf>
    <xf numFmtId="0" fontId="5" fillId="0" borderId="9" xfId="0" applyFont="1" applyBorder="1"/>
    <xf numFmtId="0" fontId="2" fillId="0" borderId="9" xfId="0" applyFont="1" applyBorder="1"/>
    <xf numFmtId="0" fontId="56" fillId="0" borderId="9" xfId="0" applyFont="1" applyBorder="1"/>
    <xf numFmtId="0" fontId="57" fillId="0" borderId="9" xfId="0" applyFont="1" applyBorder="1"/>
    <xf numFmtId="0" fontId="2" fillId="0" borderId="11" xfId="0" applyFont="1" applyBorder="1"/>
    <xf numFmtId="0" fontId="10" fillId="0" borderId="0" xfId="0" applyFont="1" applyAlignment="1" applyProtection="1">
      <alignment wrapText="1"/>
      <protection locked="0"/>
    </xf>
    <xf numFmtId="0" fontId="58" fillId="5" borderId="38" xfId="0" applyFont="1" applyFill="1" applyBorder="1" applyAlignment="1">
      <alignment horizontal="center"/>
    </xf>
    <xf numFmtId="167" fontId="59" fillId="5" borderId="39" xfId="0" applyNumberFormat="1" applyFont="1" applyFill="1" applyBorder="1" applyAlignment="1">
      <alignment horizontal="center"/>
    </xf>
    <xf numFmtId="0" fontId="59" fillId="5" borderId="40" xfId="0" applyFont="1" applyFill="1" applyBorder="1" applyAlignment="1">
      <alignment horizontal="center"/>
    </xf>
    <xf numFmtId="168" fontId="59" fillId="5" borderId="38" xfId="0" applyNumberFormat="1" applyFont="1" applyFill="1" applyBorder="1" applyAlignment="1">
      <alignment horizontal="center"/>
    </xf>
    <xf numFmtId="0" fontId="59" fillId="5" borderId="38" xfId="0" applyFont="1" applyFill="1" applyBorder="1" applyAlignment="1">
      <alignment horizontal="center"/>
    </xf>
    <xf numFmtId="167" fontId="59" fillId="5" borderId="38" xfId="0" applyNumberFormat="1" applyFont="1" applyFill="1" applyBorder="1" applyAlignment="1">
      <alignment horizontal="center"/>
    </xf>
    <xf numFmtId="0" fontId="58" fillId="5" borderId="39" xfId="0" applyFont="1" applyFill="1" applyBorder="1" applyAlignment="1">
      <alignment horizontal="center" wrapText="1"/>
    </xf>
    <xf numFmtId="0" fontId="58" fillId="5" borderId="38" xfId="0" applyFont="1" applyFill="1" applyBorder="1" applyAlignment="1">
      <alignment horizontal="right"/>
    </xf>
    <xf numFmtId="0" fontId="6" fillId="6" borderId="38" xfId="0" applyFont="1" applyFill="1" applyBorder="1" applyAlignment="1">
      <alignment horizontal="center" vertical="center"/>
    </xf>
    <xf numFmtId="10" fontId="6" fillId="6" borderId="14" xfId="0" applyNumberFormat="1" applyFont="1" applyFill="1" applyBorder="1" applyAlignment="1" applyProtection="1">
      <alignment horizontal="right" vertical="center"/>
    </xf>
    <xf numFmtId="0" fontId="6" fillId="6" borderId="38" xfId="0" applyFont="1" applyFill="1" applyBorder="1" applyAlignment="1">
      <alignment horizontal="center" wrapText="1"/>
    </xf>
    <xf numFmtId="2" fontId="6" fillId="6" borderId="38" xfId="0" applyNumberFormat="1" applyFont="1" applyFill="1" applyBorder="1" applyAlignment="1">
      <alignment horizontal="center" wrapText="1"/>
    </xf>
    <xf numFmtId="167" fontId="36" fillId="6" borderId="38" xfId="0" applyNumberFormat="1" applyFont="1" applyFill="1" applyBorder="1" applyAlignment="1" applyProtection="1">
      <alignment horizontal="center" vertical="center"/>
    </xf>
    <xf numFmtId="167" fontId="36" fillId="6" borderId="38" xfId="0" applyNumberFormat="1" applyFont="1" applyFill="1" applyBorder="1" applyAlignment="1">
      <alignment horizontal="center" vertical="center"/>
    </xf>
    <xf numFmtId="0" fontId="36" fillId="6" borderId="38" xfId="0" applyFont="1" applyFill="1" applyBorder="1" applyAlignment="1">
      <alignment horizontal="center" vertical="center"/>
    </xf>
    <xf numFmtId="168" fontId="36" fillId="6" borderId="38" xfId="1" applyNumberFormat="1" applyFont="1" applyFill="1" applyBorder="1" applyAlignment="1" applyProtection="1">
      <alignment horizontal="center" vertical="center"/>
    </xf>
    <xf numFmtId="0" fontId="0" fillId="0" borderId="15" xfId="0" applyBorder="1" applyAlignment="1" applyProtection="1">
      <alignment horizontal="center"/>
      <protection locked="0"/>
    </xf>
    <xf numFmtId="0" fontId="0" fillId="0" borderId="15" xfId="0" applyBorder="1" applyAlignment="1">
      <alignment horizontal="center"/>
    </xf>
    <xf numFmtId="0" fontId="0" fillId="0" borderId="15" xfId="0" applyBorder="1"/>
    <xf numFmtId="0" fontId="2" fillId="0" borderId="15" xfId="0" applyFont="1" applyBorder="1"/>
    <xf numFmtId="0" fontId="0" fillId="6" borderId="41" xfId="0" applyFill="1" applyBorder="1"/>
    <xf numFmtId="0" fontId="0" fillId="6" borderId="41" xfId="0" applyFill="1" applyBorder="1" applyProtection="1">
      <protection locked="0"/>
    </xf>
    <xf numFmtId="0" fontId="10" fillId="6" borderId="41" xfId="0" applyFont="1" applyFill="1" applyBorder="1" applyAlignment="1">
      <alignment horizontal="left"/>
    </xf>
    <xf numFmtId="0" fontId="0" fillId="6" borderId="41" xfId="0" applyFill="1" applyBorder="1" applyAlignment="1">
      <alignment horizontal="center"/>
    </xf>
    <xf numFmtId="0" fontId="0" fillId="6" borderId="42" xfId="0" applyFill="1" applyBorder="1"/>
    <xf numFmtId="0" fontId="0" fillId="6" borderId="43" xfId="0" applyFill="1" applyBorder="1"/>
    <xf numFmtId="0" fontId="6" fillId="6" borderId="41" xfId="0" applyFont="1" applyFill="1" applyBorder="1"/>
    <xf numFmtId="0" fontId="2" fillId="0" borderId="15" xfId="0" applyFont="1" applyBorder="1" applyAlignment="1">
      <alignment horizontal="center"/>
    </xf>
    <xf numFmtId="0" fontId="10" fillId="6" borderId="41" xfId="0" applyFont="1" applyFill="1" applyBorder="1" applyAlignment="1" applyProtection="1">
      <alignment wrapText="1"/>
      <protection locked="0"/>
    </xf>
    <xf numFmtId="0" fontId="2" fillId="6" borderId="43" xfId="0" applyFont="1" applyFill="1" applyBorder="1" applyAlignment="1">
      <alignment vertical="top"/>
    </xf>
    <xf numFmtId="0" fontId="24" fillId="6" borderId="41" xfId="0" applyFont="1" applyFill="1" applyBorder="1" applyAlignment="1">
      <alignment vertical="top"/>
    </xf>
    <xf numFmtId="0" fontId="2" fillId="6" borderId="42" xfId="0" applyFont="1" applyFill="1" applyBorder="1" applyAlignment="1">
      <alignment vertical="top"/>
    </xf>
    <xf numFmtId="0" fontId="5" fillId="0" borderId="11" xfId="0" applyFont="1" applyBorder="1"/>
    <xf numFmtId="0" fontId="56" fillId="0" borderId="11" xfId="0" applyFont="1" applyBorder="1"/>
    <xf numFmtId="0" fontId="5" fillId="0" borderId="15" xfId="0" applyFont="1" applyBorder="1"/>
    <xf numFmtId="0" fontId="6" fillId="6" borderId="44" xfId="0" applyFont="1" applyFill="1" applyBorder="1"/>
    <xf numFmtId="0" fontId="2" fillId="0" borderId="0" xfId="0" applyFont="1" applyFill="1" applyAlignment="1">
      <alignment horizontal="center"/>
    </xf>
    <xf numFmtId="0" fontId="60" fillId="0" borderId="0" xfId="3" applyFont="1" applyBorder="1"/>
    <xf numFmtId="0" fontId="60" fillId="0" borderId="0" xfId="3" applyFont="1" applyFill="1" applyBorder="1"/>
    <xf numFmtId="10" fontId="0" fillId="2" borderId="1" xfId="0" applyNumberFormat="1" applyFill="1" applyBorder="1"/>
    <xf numFmtId="0" fontId="5" fillId="0" borderId="45" xfId="0" applyFont="1" applyBorder="1" applyAlignment="1"/>
    <xf numFmtId="0" fontId="5" fillId="0" borderId="11" xfId="0" applyFont="1" applyBorder="1" applyAlignment="1"/>
    <xf numFmtId="167" fontId="0" fillId="0" borderId="13" xfId="0" applyNumberFormat="1" applyBorder="1" applyAlignment="1">
      <alignment horizontal="center"/>
    </xf>
    <xf numFmtId="167" fontId="0" fillId="0" borderId="11" xfId="0" applyNumberFormat="1" applyBorder="1" applyAlignment="1">
      <alignment horizontal="center"/>
    </xf>
    <xf numFmtId="0" fontId="58" fillId="5" borderId="39" xfId="0" applyFont="1" applyFill="1" applyBorder="1" applyAlignment="1">
      <alignment horizontal="center"/>
    </xf>
    <xf numFmtId="0" fontId="2" fillId="0" borderId="11" xfId="0" quotePrefix="1" applyFont="1" applyBorder="1" applyAlignment="1">
      <alignment horizontal="center"/>
    </xf>
    <xf numFmtId="2" fontId="36" fillId="6" borderId="38" xfId="0" applyNumberFormat="1" applyFont="1" applyFill="1" applyBorder="1" applyAlignment="1" applyProtection="1">
      <alignment horizontal="center" vertical="center"/>
    </xf>
    <xf numFmtId="2" fontId="59" fillId="5" borderId="38" xfId="0" applyNumberFormat="1" applyFont="1" applyFill="1" applyBorder="1" applyAlignment="1" applyProtection="1">
      <alignment horizontal="center"/>
    </xf>
    <xf numFmtId="2" fontId="59" fillId="5" borderId="39" xfId="0" applyNumberFormat="1" applyFont="1" applyFill="1" applyBorder="1" applyAlignment="1" applyProtection="1">
      <alignment horizontal="center"/>
    </xf>
    <xf numFmtId="0" fontId="61" fillId="2" borderId="0" xfId="0" applyFont="1" applyFill="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vertical="top" wrapText="1"/>
    </xf>
    <xf numFmtId="0" fontId="5" fillId="2" borderId="0" xfId="0" applyFont="1" applyFill="1" applyAlignment="1">
      <alignment horizontal="right" vertical="top" wrapText="1"/>
    </xf>
    <xf numFmtId="0" fontId="5" fillId="2" borderId="0" xfId="0" applyFont="1" applyFill="1" applyAlignment="1">
      <alignment horizontal="right" vertical="top"/>
    </xf>
    <xf numFmtId="0" fontId="5" fillId="2" borderId="0" xfId="0" applyNumberFormat="1" applyFont="1" applyFill="1" applyAlignment="1">
      <alignment horizontal="left" vertical="top" wrapText="1"/>
    </xf>
    <xf numFmtId="0" fontId="8" fillId="2" borderId="0" xfId="0" applyFont="1" applyFill="1" applyAlignment="1">
      <alignment vertical="top"/>
    </xf>
    <xf numFmtId="0" fontId="2" fillId="0" borderId="0" xfId="0" applyFont="1" applyFill="1" applyAlignment="1"/>
    <xf numFmtId="0" fontId="31" fillId="0" borderId="9" xfId="2" applyFont="1" applyFill="1" applyBorder="1" applyAlignment="1" applyProtection="1">
      <alignment horizontal="center" vertical="top"/>
    </xf>
    <xf numFmtId="0" fontId="62" fillId="0" borderId="0" xfId="0" applyFont="1" applyAlignment="1"/>
    <xf numFmtId="0" fontId="31" fillId="0" borderId="9" xfId="2" applyFont="1" applyFill="1" applyBorder="1" applyAlignment="1" applyProtection="1">
      <alignment horizontal="center"/>
    </xf>
    <xf numFmtId="0" fontId="31" fillId="0" borderId="9" xfId="2" applyFont="1" applyFill="1" applyBorder="1" applyAlignment="1" applyProtection="1">
      <alignment horizontal="left" vertical="top"/>
    </xf>
    <xf numFmtId="0" fontId="31" fillId="0" borderId="9" xfId="2" applyFont="1" applyFill="1" applyBorder="1" applyAlignment="1" applyProtection="1"/>
    <xf numFmtId="0" fontId="31" fillId="0" borderId="9" xfId="4" applyFont="1" applyFill="1" applyBorder="1" applyAlignment="1" applyProtection="1">
      <alignment horizontal="center"/>
    </xf>
    <xf numFmtId="0" fontId="63" fillId="0" borderId="9" xfId="4" applyFont="1" applyFill="1" applyBorder="1" applyAlignment="1" applyProtection="1">
      <alignment horizontal="center"/>
    </xf>
    <xf numFmtId="0" fontId="64" fillId="0" borderId="0" xfId="0" applyFont="1" applyAlignment="1"/>
    <xf numFmtId="0" fontId="0" fillId="0" borderId="0" xfId="0" applyFill="1" applyAlignment="1">
      <alignment wrapText="1"/>
    </xf>
    <xf numFmtId="0" fontId="3" fillId="0" borderId="0" xfId="0" applyFont="1" applyFill="1" applyAlignment="1"/>
    <xf numFmtId="0" fontId="4" fillId="0" borderId="0" xfId="0" applyFont="1" applyFill="1" applyAlignment="1"/>
    <xf numFmtId="0" fontId="0" fillId="0" borderId="0" xfId="0" applyFill="1" applyAlignment="1">
      <alignment vertical="top"/>
    </xf>
    <xf numFmtId="0" fontId="62" fillId="0" borderId="0" xfId="0" applyFont="1" applyFill="1" applyAlignment="1"/>
    <xf numFmtId="0" fontId="65" fillId="0" borderId="0" xfId="0" applyFont="1" applyFill="1" applyAlignment="1"/>
    <xf numFmtId="0" fontId="31" fillId="0" borderId="9" xfId="4" applyFont="1" applyFill="1" applyBorder="1" applyAlignment="1" applyProtection="1"/>
    <xf numFmtId="0" fontId="6" fillId="0" borderId="0" xfId="0" applyFont="1" applyProtection="1">
      <protection locked="0"/>
    </xf>
    <xf numFmtId="0" fontId="0" fillId="0" borderId="0" xfId="0" applyAlignment="1" applyProtection="1"/>
    <xf numFmtId="0" fontId="31" fillId="0" borderId="0" xfId="0" applyFont="1" applyAlignment="1" applyProtection="1"/>
    <xf numFmtId="166" fontId="0" fillId="0" borderId="0" xfId="0" applyNumberFormat="1" applyAlignment="1" applyProtection="1">
      <alignment horizontal="center"/>
    </xf>
    <xf numFmtId="0" fontId="0" fillId="0" borderId="0" xfId="0" applyAlignment="1" applyProtection="1">
      <alignment horizontal="center"/>
    </xf>
    <xf numFmtId="1" fontId="0" fillId="0" borderId="0" xfId="0" applyNumberFormat="1" applyAlignment="1" applyProtection="1"/>
    <xf numFmtId="0" fontId="2" fillId="0" borderId="0" xfId="0" applyFont="1" applyAlignment="1" applyProtection="1"/>
    <xf numFmtId="15" fontId="2" fillId="0" borderId="9" xfId="0" applyNumberFormat="1" applyFont="1" applyBorder="1" applyAlignment="1" applyProtection="1">
      <alignment horizontal="center" wrapText="1"/>
    </xf>
    <xf numFmtId="15" fontId="2" fillId="0" borderId="9" xfId="0" applyNumberFormat="1" applyFont="1" applyBorder="1" applyAlignment="1" applyProtection="1">
      <alignment horizontal="left" wrapText="1"/>
    </xf>
    <xf numFmtId="0" fontId="2" fillId="0" borderId="9" xfId="0" applyFont="1" applyBorder="1" applyAlignment="1" applyProtection="1">
      <alignment horizontal="left" wrapText="1"/>
    </xf>
    <xf numFmtId="0" fontId="2" fillId="0" borderId="9" xfId="0" applyFont="1" applyBorder="1" applyAlignment="1" applyProtection="1">
      <alignment horizontal="center" wrapText="1"/>
    </xf>
    <xf numFmtId="166" fontId="2" fillId="0" borderId="9" xfId="0" applyNumberFormat="1" applyFont="1" applyBorder="1" applyAlignment="1" applyProtection="1">
      <alignment horizontal="center" wrapText="1"/>
    </xf>
    <xf numFmtId="1" fontId="2" fillId="0" borderId="9" xfId="0" applyNumberFormat="1" applyFont="1" applyBorder="1" applyAlignment="1" applyProtection="1">
      <alignment horizontal="center" wrapText="1"/>
    </xf>
    <xf numFmtId="0" fontId="2" fillId="0" borderId="9" xfId="0" applyFont="1" applyFill="1" applyBorder="1" applyAlignment="1" applyProtection="1">
      <alignment horizontal="center" wrapText="1"/>
    </xf>
    <xf numFmtId="15" fontId="2" fillId="0" borderId="9" xfId="0" applyNumberFormat="1" applyFont="1" applyBorder="1" applyAlignment="1" applyProtection="1">
      <alignment horizontal="left"/>
    </xf>
    <xf numFmtId="0" fontId="2" fillId="0" borderId="9" xfId="0" applyFont="1" applyBorder="1" applyAlignment="1" applyProtection="1">
      <alignment horizontal="center"/>
    </xf>
    <xf numFmtId="166" fontId="2" fillId="0" borderId="9" xfId="0" applyNumberFormat="1" applyFont="1" applyBorder="1" applyAlignment="1" applyProtection="1">
      <alignment horizontal="center"/>
    </xf>
    <xf numFmtId="0" fontId="2" fillId="0" borderId="9" xfId="0" applyFont="1" applyFill="1" applyBorder="1" applyAlignment="1" applyProtection="1">
      <alignment horizontal="center"/>
    </xf>
    <xf numFmtId="1" fontId="2" fillId="0" borderId="9" xfId="0" applyNumberFormat="1" applyFont="1" applyBorder="1" applyAlignment="1" applyProtection="1">
      <alignment horizontal="center"/>
    </xf>
    <xf numFmtId="0" fontId="2" fillId="0" borderId="9" xfId="0" applyFont="1" applyBorder="1" applyAlignment="1" applyProtection="1">
      <alignment horizontal="left"/>
    </xf>
    <xf numFmtId="0" fontId="2" fillId="0" borderId="9" xfId="0" applyFont="1" applyBorder="1" applyAlignment="1" applyProtection="1"/>
    <xf numFmtId="0" fontId="0" fillId="0" borderId="9" xfId="0" applyBorder="1" applyAlignment="1" applyProtection="1"/>
    <xf numFmtId="0" fontId="2" fillId="0" borderId="9" xfId="0" applyFont="1" applyBorder="1" applyAlignment="1" applyProtection="1">
      <alignment horizontal="left" vertical="top"/>
    </xf>
    <xf numFmtId="171" fontId="2" fillId="0" borderId="9" xfId="1" applyNumberFormat="1" applyFont="1" applyBorder="1" applyAlignment="1" applyProtection="1">
      <alignment horizontal="center"/>
    </xf>
    <xf numFmtId="2" fontId="2" fillId="0" borderId="9" xfId="0" applyNumberFormat="1" applyFont="1" applyBorder="1" applyAlignment="1" applyProtection="1"/>
    <xf numFmtId="2" fontId="2" fillId="0" borderId="9" xfId="0" applyNumberFormat="1" applyFont="1" applyBorder="1" applyAlignment="1" applyProtection="1">
      <alignment horizontal="center"/>
    </xf>
    <xf numFmtId="3" fontId="2" fillId="0" borderId="9" xfId="0" applyNumberFormat="1" applyFont="1" applyBorder="1" applyAlignment="1" applyProtection="1">
      <alignment horizontal="center"/>
    </xf>
    <xf numFmtId="0" fontId="7" fillId="0" borderId="9" xfId="5" applyNumberFormat="1" applyFont="1" applyFill="1" applyBorder="1" applyAlignment="1" applyProtection="1">
      <alignment horizontal="center" vertical="top"/>
    </xf>
    <xf numFmtId="0" fontId="7" fillId="0" borderId="9" xfId="5" applyFont="1" applyFill="1" applyBorder="1" applyAlignment="1" applyProtection="1">
      <alignment horizontal="left" vertical="top"/>
    </xf>
    <xf numFmtId="49" fontId="2" fillId="0" borderId="9" xfId="0" applyNumberFormat="1" applyFont="1" applyBorder="1" applyAlignment="1" applyProtection="1">
      <alignment horizontal="left" vertical="top"/>
    </xf>
    <xf numFmtId="0" fontId="7" fillId="0" borderId="9" xfId="0" applyFont="1" applyBorder="1" applyAlignment="1" applyProtection="1">
      <alignment horizontal="left" vertical="top"/>
    </xf>
    <xf numFmtId="0" fontId="7" fillId="0" borderId="9" xfId="0" applyFont="1" applyBorder="1" applyAlignment="1" applyProtection="1">
      <alignment horizontal="center" vertical="top"/>
    </xf>
    <xf numFmtId="164" fontId="2" fillId="0" borderId="9" xfId="0" applyNumberFormat="1" applyFont="1" applyBorder="1" applyAlignment="1" applyProtection="1">
      <alignment horizontal="center"/>
    </xf>
    <xf numFmtId="0" fontId="7" fillId="0" borderId="9" xfId="6" applyFont="1" applyFill="1" applyBorder="1" applyAlignment="1" applyProtection="1"/>
    <xf numFmtId="49" fontId="7" fillId="0" borderId="9" xfId="0" applyNumberFormat="1" applyFont="1" applyBorder="1" applyAlignment="1" applyProtection="1">
      <alignment horizontal="left" vertical="top"/>
    </xf>
    <xf numFmtId="2" fontId="0" fillId="0" borderId="9" xfId="0" applyNumberFormat="1" applyBorder="1" applyAlignment="1" applyProtection="1">
      <alignment horizontal="center"/>
    </xf>
    <xf numFmtId="164" fontId="2" fillId="0" borderId="9" xfId="0" applyNumberFormat="1" applyFont="1" applyFill="1" applyBorder="1" applyAlignment="1" applyProtection="1">
      <alignment horizontal="center"/>
    </xf>
    <xf numFmtId="0" fontId="7" fillId="0" borderId="9" xfId="5" applyFont="1" applyFill="1" applyBorder="1" applyAlignment="1" applyProtection="1">
      <alignment horizontal="center" vertical="top"/>
    </xf>
    <xf numFmtId="0" fontId="2" fillId="0" borderId="0" xfId="0" applyFont="1" applyAlignment="1" applyProtection="1">
      <alignment horizontal="center"/>
    </xf>
    <xf numFmtId="0" fontId="0" fillId="0" borderId="0" xfId="0" applyFill="1" applyProtection="1"/>
    <xf numFmtId="0" fontId="34" fillId="0" borderId="0" xfId="0" applyFont="1" applyFill="1" applyProtection="1"/>
    <xf numFmtId="166" fontId="0" fillId="0" borderId="0" xfId="0" applyNumberFormat="1" applyFill="1" applyAlignment="1" applyProtection="1">
      <alignment horizontal="center"/>
    </xf>
    <xf numFmtId="0" fontId="0" fillId="0" borderId="0" xfId="0" applyFill="1" applyAlignment="1" applyProtection="1">
      <alignment horizontal="center"/>
    </xf>
    <xf numFmtId="0" fontId="1" fillId="0" borderId="0" xfId="0" applyFont="1" applyFill="1" applyProtection="1"/>
    <xf numFmtId="0" fontId="0" fillId="0" borderId="0" xfId="0" applyFill="1" applyAlignment="1" applyProtection="1"/>
    <xf numFmtId="15" fontId="2" fillId="0" borderId="9" xfId="0" applyNumberFormat="1" applyFont="1" applyFill="1" applyBorder="1" applyAlignment="1" applyProtection="1">
      <alignment horizontal="center" wrapText="1"/>
    </xf>
    <xf numFmtId="15" fontId="2" fillId="0" borderId="9" xfId="0" applyNumberFormat="1" applyFont="1" applyFill="1" applyBorder="1" applyAlignment="1" applyProtection="1">
      <alignment horizontal="left" wrapText="1"/>
    </xf>
    <xf numFmtId="0" fontId="2" fillId="0" borderId="9" xfId="0" applyFont="1" applyFill="1" applyBorder="1" applyAlignment="1" applyProtection="1">
      <alignment horizontal="left" wrapText="1"/>
    </xf>
    <xf numFmtId="166" fontId="2" fillId="0" borderId="9" xfId="0" applyNumberFormat="1" applyFont="1" applyFill="1" applyBorder="1" applyAlignment="1" applyProtection="1">
      <alignment horizontal="center" wrapText="1"/>
    </xf>
    <xf numFmtId="0" fontId="1" fillId="0" borderId="9" xfId="0" applyFont="1" applyFill="1" applyBorder="1" applyAlignment="1" applyProtection="1">
      <alignment wrapText="1"/>
    </xf>
    <xf numFmtId="0" fontId="0" fillId="0" borderId="9" xfId="0" applyFill="1" applyBorder="1" applyAlignment="1" applyProtection="1">
      <alignment wrapText="1"/>
    </xf>
    <xf numFmtId="15" fontId="2" fillId="0" borderId="9" xfId="0" applyNumberFormat="1" applyFont="1" applyFill="1" applyBorder="1" applyAlignment="1" applyProtection="1">
      <alignment horizontal="left"/>
    </xf>
    <xf numFmtId="0" fontId="31" fillId="0" borderId="9" xfId="0" applyFont="1" applyFill="1" applyBorder="1" applyAlignment="1" applyProtection="1">
      <alignment horizontal="left"/>
    </xf>
    <xf numFmtId="171" fontId="2" fillId="0" borderId="9" xfId="1" applyNumberFormat="1" applyFont="1" applyFill="1" applyBorder="1" applyAlignment="1" applyProtection="1">
      <alignment horizontal="center"/>
    </xf>
    <xf numFmtId="166" fontId="2" fillId="0" borderId="9" xfId="0" applyNumberFormat="1" applyFont="1" applyFill="1" applyBorder="1" applyAlignment="1" applyProtection="1">
      <alignment horizontal="center"/>
    </xf>
    <xf numFmtId="0" fontId="2" fillId="0" borderId="9" xfId="0" applyFont="1" applyFill="1" applyBorder="1" applyAlignment="1" applyProtection="1">
      <alignment horizontal="left"/>
    </xf>
    <xf numFmtId="0" fontId="1" fillId="0" borderId="9" xfId="0" applyFont="1" applyFill="1" applyBorder="1" applyAlignment="1" applyProtection="1"/>
    <xf numFmtId="0" fontId="0" fillId="0" borderId="9" xfId="0" applyFill="1" applyBorder="1" applyAlignment="1" applyProtection="1"/>
    <xf numFmtId="49" fontId="33" fillId="0" borderId="9" xfId="0" applyNumberFormat="1" applyFont="1" applyFill="1" applyBorder="1" applyAlignment="1" applyProtection="1">
      <alignment horizontal="center"/>
    </xf>
    <xf numFmtId="2" fontId="2" fillId="0" borderId="9" xfId="0" applyNumberFormat="1" applyFont="1" applyFill="1" applyBorder="1" applyAlignment="1" applyProtection="1">
      <alignment horizontal="right"/>
    </xf>
    <xf numFmtId="167" fontId="2" fillId="0" borderId="9" xfId="0" applyNumberFormat="1" applyFont="1" applyFill="1" applyBorder="1" applyAlignment="1" applyProtection="1">
      <alignment horizontal="center"/>
    </xf>
    <xf numFmtId="2" fontId="2" fillId="0" borderId="9" xfId="0" applyNumberFormat="1" applyFont="1" applyFill="1" applyBorder="1" applyAlignment="1" applyProtection="1">
      <alignment horizontal="center"/>
    </xf>
    <xf numFmtId="165" fontId="2" fillId="0" borderId="9" xfId="0" applyNumberFormat="1" applyFont="1" applyFill="1" applyBorder="1" applyAlignment="1" applyProtection="1">
      <alignment horizontal="center"/>
    </xf>
    <xf numFmtId="1" fontId="0" fillId="0" borderId="9" xfId="0" applyNumberFormat="1" applyFill="1" applyBorder="1" applyAlignment="1" applyProtection="1"/>
    <xf numFmtId="3" fontId="2" fillId="0" borderId="9" xfId="0" applyNumberFormat="1" applyFont="1" applyFill="1" applyBorder="1" applyAlignment="1" applyProtection="1">
      <alignment horizontal="center"/>
    </xf>
    <xf numFmtId="49" fontId="2" fillId="0" borderId="9" xfId="0" applyNumberFormat="1" applyFont="1" applyFill="1" applyBorder="1" applyAlignment="1" applyProtection="1">
      <alignment horizontal="right"/>
    </xf>
    <xf numFmtId="0" fontId="33" fillId="0" borderId="9" xfId="4" applyNumberFormat="1" applyFont="1" applyFill="1" applyBorder="1" applyAlignment="1" applyProtection="1">
      <alignment horizontal="center"/>
    </xf>
    <xf numFmtId="0" fontId="7" fillId="0" borderId="9" xfId="4" applyFont="1" applyFill="1" applyBorder="1" applyAlignment="1" applyProtection="1"/>
    <xf numFmtId="49" fontId="2" fillId="0" borderId="9" xfId="0" applyNumberFormat="1" applyFont="1" applyFill="1" applyBorder="1" applyAlignment="1" applyProtection="1"/>
    <xf numFmtId="49" fontId="2" fillId="0" borderId="9" xfId="0" applyNumberFormat="1" applyFont="1" applyFill="1" applyBorder="1" applyAlignment="1" applyProtection="1">
      <alignment horizontal="center"/>
    </xf>
    <xf numFmtId="1" fontId="2" fillId="0" borderId="9" xfId="0" applyNumberFormat="1" applyFont="1" applyFill="1" applyBorder="1" applyAlignment="1" applyProtection="1"/>
    <xf numFmtId="0" fontId="2" fillId="0" borderId="9" xfId="4" applyNumberFormat="1" applyFont="1" applyFill="1" applyBorder="1" applyAlignment="1" applyProtection="1">
      <alignment horizontal="center"/>
    </xf>
    <xf numFmtId="0" fontId="2" fillId="0" borderId="9" xfId="0" applyFont="1" applyFill="1" applyBorder="1" applyAlignment="1" applyProtection="1"/>
    <xf numFmtId="0" fontId="2" fillId="0" borderId="9" xfId="4" applyFont="1" applyFill="1" applyBorder="1" applyAlignment="1" applyProtection="1"/>
    <xf numFmtId="166" fontId="0" fillId="0" borderId="9" xfId="0" applyNumberFormat="1" applyFill="1" applyBorder="1" applyAlignment="1" applyProtection="1">
      <alignment horizontal="center"/>
    </xf>
    <xf numFmtId="0" fontId="2" fillId="0" borderId="9" xfId="0" applyFont="1" applyFill="1" applyBorder="1" applyAlignment="1" applyProtection="1">
      <alignment horizontal="center" vertical="top"/>
    </xf>
    <xf numFmtId="0" fontId="0" fillId="0" borderId="9" xfId="0" applyFill="1" applyBorder="1" applyAlignment="1" applyProtection="1">
      <alignment vertical="top"/>
    </xf>
    <xf numFmtId="2" fontId="2" fillId="0" borderId="9" xfId="0" applyNumberFormat="1" applyFont="1" applyFill="1" applyBorder="1" applyAlignment="1" applyProtection="1">
      <alignment horizontal="right" vertical="top"/>
    </xf>
    <xf numFmtId="167" fontId="2" fillId="0" borderId="9" xfId="0" applyNumberFormat="1" applyFont="1" applyFill="1" applyBorder="1" applyAlignment="1" applyProtection="1">
      <alignment horizontal="center" vertical="top"/>
    </xf>
    <xf numFmtId="2" fontId="2" fillId="0" borderId="9" xfId="0" applyNumberFormat="1" applyFont="1" applyFill="1" applyBorder="1" applyAlignment="1" applyProtection="1">
      <alignment horizontal="center" vertical="top"/>
    </xf>
    <xf numFmtId="165" fontId="2" fillId="0" borderId="9" xfId="0" applyNumberFormat="1" applyFont="1" applyFill="1" applyBorder="1" applyAlignment="1" applyProtection="1">
      <alignment horizontal="center" vertical="top"/>
    </xf>
    <xf numFmtId="1" fontId="0" fillId="0" borderId="9" xfId="0" applyNumberFormat="1" applyFill="1" applyBorder="1" applyAlignment="1" applyProtection="1">
      <alignment vertical="top"/>
    </xf>
    <xf numFmtId="164" fontId="2" fillId="0" borderId="9" xfId="0" applyNumberFormat="1" applyFont="1" applyFill="1" applyBorder="1" applyAlignment="1" applyProtection="1">
      <alignment horizontal="center" vertical="top"/>
    </xf>
    <xf numFmtId="3" fontId="2" fillId="0" borderId="9" xfId="0" applyNumberFormat="1" applyFont="1" applyFill="1" applyBorder="1" applyAlignment="1" applyProtection="1">
      <alignment horizontal="center" vertical="top"/>
    </xf>
    <xf numFmtId="49" fontId="2" fillId="0" borderId="9" xfId="0" applyNumberFormat="1" applyFont="1" applyFill="1" applyBorder="1" applyAlignment="1" applyProtection="1">
      <alignment horizontal="right" vertical="top"/>
    </xf>
    <xf numFmtId="1" fontId="33" fillId="0" borderId="9" xfId="4" applyNumberFormat="1" applyFont="1" applyFill="1" applyBorder="1" applyAlignment="1" applyProtection="1">
      <alignment horizontal="center" vertical="top"/>
    </xf>
    <xf numFmtId="0" fontId="2" fillId="0" borderId="9" xfId="4" applyFont="1" applyFill="1" applyBorder="1" applyAlignment="1" applyProtection="1">
      <alignment vertical="top"/>
    </xf>
    <xf numFmtId="49" fontId="2" fillId="0" borderId="9" xfId="0" applyNumberFormat="1" applyFont="1" applyFill="1" applyBorder="1" applyAlignment="1" applyProtection="1">
      <alignment vertical="top"/>
    </xf>
    <xf numFmtId="49" fontId="65" fillId="0" borderId="9" xfId="0" applyNumberFormat="1" applyFont="1" applyFill="1" applyBorder="1" applyAlignment="1" applyProtection="1">
      <alignment horizontal="center"/>
    </xf>
    <xf numFmtId="2" fontId="2" fillId="0" borderId="9" xfId="0" applyNumberFormat="1" applyFont="1" applyFill="1" applyBorder="1" applyAlignment="1" applyProtection="1"/>
    <xf numFmtId="165" fontId="3" fillId="0" borderId="9" xfId="0" applyNumberFormat="1" applyFont="1" applyFill="1" applyBorder="1" applyAlignment="1" applyProtection="1">
      <alignment horizontal="center"/>
    </xf>
    <xf numFmtId="0" fontId="3" fillId="0" borderId="9" xfId="4" applyFont="1" applyFill="1" applyBorder="1" applyAlignment="1" applyProtection="1"/>
    <xf numFmtId="49" fontId="3" fillId="0" borderId="9" xfId="0" applyNumberFormat="1" applyFont="1" applyFill="1" applyBorder="1" applyAlignment="1" applyProtection="1"/>
    <xf numFmtId="2" fontId="0" fillId="0" borderId="9" xfId="0" applyNumberFormat="1" applyFill="1" applyBorder="1" applyAlignment="1" applyProtection="1"/>
    <xf numFmtId="167" fontId="0" fillId="0" borderId="9" xfId="0" applyNumberFormat="1" applyFill="1" applyBorder="1" applyAlignment="1" applyProtection="1">
      <alignment horizontal="center"/>
    </xf>
    <xf numFmtId="49" fontId="7" fillId="0" borderId="9" xfId="0" applyNumberFormat="1" applyFont="1" applyFill="1" applyBorder="1" applyAlignment="1" applyProtection="1"/>
    <xf numFmtId="1" fontId="33" fillId="0" borderId="9" xfId="4" applyNumberFormat="1" applyFont="1" applyFill="1" applyBorder="1" applyAlignment="1" applyProtection="1">
      <alignment horizontal="center"/>
    </xf>
    <xf numFmtId="49" fontId="7" fillId="0" borderId="9" xfId="0" applyNumberFormat="1" applyFont="1" applyFill="1" applyBorder="1" applyAlignment="1" applyProtection="1">
      <alignment horizontal="right"/>
    </xf>
    <xf numFmtId="49" fontId="5" fillId="0" borderId="9" xfId="0" applyNumberFormat="1" applyFont="1" applyFill="1" applyBorder="1" applyAlignment="1" applyProtection="1"/>
    <xf numFmtId="1" fontId="2" fillId="0" borderId="9" xfId="0" applyNumberFormat="1" applyFont="1" applyFill="1" applyBorder="1" applyAlignment="1" applyProtection="1">
      <alignment horizontal="right"/>
    </xf>
    <xf numFmtId="0" fontId="34" fillId="0" borderId="0" xfId="0" applyFont="1" applyFill="1" applyAlignment="1" applyProtection="1"/>
    <xf numFmtId="0" fontId="34" fillId="0" borderId="0" xfId="0" applyFont="1" applyFill="1" applyAlignment="1" applyProtection="1">
      <alignment horizontal="center"/>
    </xf>
    <xf numFmtId="0" fontId="1" fillId="0" borderId="0" xfId="0" applyFont="1" applyFill="1" applyAlignment="1" applyProtection="1"/>
    <xf numFmtId="0" fontId="2" fillId="0" borderId="0" xfId="0" applyFont="1" applyFill="1" applyAlignment="1" applyProtection="1"/>
    <xf numFmtId="0" fontId="31" fillId="0" borderId="0" xfId="0" applyFont="1" applyFill="1" applyAlignment="1" applyProtection="1"/>
    <xf numFmtId="0" fontId="2" fillId="0" borderId="0" xfId="0" applyFont="1" applyFill="1" applyAlignment="1" applyProtection="1">
      <alignment horizontal="center"/>
    </xf>
    <xf numFmtId="0" fontId="0" fillId="0" borderId="0" xfId="0" applyBorder="1" applyProtection="1"/>
    <xf numFmtId="0" fontId="0" fillId="0" borderId="0" xfId="0" applyAlignment="1" applyProtection="1">
      <alignment horizontal="left"/>
    </xf>
    <xf numFmtId="15" fontId="1" fillId="0" borderId="9" xfId="0" applyNumberFormat="1" applyFont="1" applyBorder="1" applyAlignment="1" applyProtection="1">
      <alignment horizontal="center" wrapText="1"/>
    </xf>
    <xf numFmtId="15" fontId="1" fillId="0" borderId="9" xfId="0" applyNumberFormat="1" applyFont="1" applyBorder="1" applyAlignment="1" applyProtection="1">
      <alignment horizontal="left" wrapText="1"/>
    </xf>
    <xf numFmtId="0" fontId="1" fillId="0" borderId="9" xfId="0" applyFont="1" applyBorder="1" applyAlignment="1" applyProtection="1">
      <alignment horizontal="center" wrapText="1"/>
    </xf>
    <xf numFmtId="0" fontId="1" fillId="0" borderId="9" xfId="0" applyFont="1" applyBorder="1" applyAlignment="1" applyProtection="1">
      <alignment horizontal="center"/>
    </xf>
    <xf numFmtId="0" fontId="1" fillId="0" borderId="9" xfId="0" applyFont="1" applyFill="1" applyBorder="1" applyAlignment="1" applyProtection="1">
      <alignment horizontal="center"/>
    </xf>
    <xf numFmtId="0" fontId="43" fillId="0" borderId="9" xfId="0" applyFont="1" applyFill="1" applyBorder="1" applyAlignment="1" applyProtection="1"/>
    <xf numFmtId="0" fontId="43" fillId="0" borderId="9" xfId="7" applyNumberFormat="1" applyFont="1" applyFill="1" applyBorder="1" applyAlignment="1" applyProtection="1">
      <alignment horizontal="center"/>
    </xf>
    <xf numFmtId="0" fontId="43" fillId="0" borderId="9" xfId="7" applyFont="1" applyFill="1" applyBorder="1" applyAlignment="1" applyProtection="1"/>
    <xf numFmtId="0" fontId="2" fillId="0" borderId="9" xfId="7" applyNumberFormat="1" applyFont="1" applyFill="1" applyBorder="1" applyAlignment="1" applyProtection="1">
      <alignment horizontal="center"/>
    </xf>
    <xf numFmtId="0" fontId="43" fillId="0" borderId="9" xfId="0" applyFont="1" applyFill="1" applyBorder="1" applyAlignment="1" applyProtection="1">
      <alignment horizontal="left"/>
    </xf>
    <xf numFmtId="0" fontId="2" fillId="0" borderId="9" xfId="7" applyFont="1" applyFill="1" applyBorder="1" applyAlignment="1" applyProtection="1"/>
    <xf numFmtId="0" fontId="1" fillId="0" borderId="9" xfId="0" applyFont="1" applyBorder="1" applyAlignment="1" applyProtection="1"/>
    <xf numFmtId="0" fontId="1" fillId="0" borderId="9" xfId="4" applyNumberFormat="1" applyFont="1" applyFill="1" applyBorder="1" applyAlignment="1" applyProtection="1">
      <alignment horizontal="center"/>
    </xf>
    <xf numFmtId="0" fontId="1" fillId="0" borderId="9" xfId="7" applyNumberFormat="1" applyFont="1" applyFill="1" applyBorder="1" applyAlignment="1" applyProtection="1">
      <alignment horizontal="center"/>
    </xf>
    <xf numFmtId="166" fontId="2" fillId="0" borderId="0" xfId="0" applyNumberFormat="1" applyFont="1" applyAlignment="1" applyProtection="1">
      <alignment horizontal="center"/>
    </xf>
    <xf numFmtId="0" fontId="0" fillId="0" borderId="0" xfId="0" applyBorder="1" applyAlignment="1" applyProtection="1"/>
    <xf numFmtId="0" fontId="6" fillId="0" borderId="1" xfId="0" applyFont="1" applyBorder="1"/>
    <xf numFmtId="0" fontId="36" fillId="0" borderId="0" xfId="0" applyFont="1" applyBorder="1" applyAlignment="1" applyProtection="1">
      <alignment horizontal="left" vertical="top"/>
    </xf>
    <xf numFmtId="0" fontId="36" fillId="0" borderId="0" xfId="0" applyFont="1"/>
    <xf numFmtId="0" fontId="36" fillId="0" borderId="0" xfId="0" applyFont="1" applyFill="1" applyBorder="1" applyAlignment="1" applyProtection="1"/>
    <xf numFmtId="0" fontId="36" fillId="0" borderId="0" xfId="0" applyFont="1" applyFill="1" applyBorder="1" applyAlignment="1" applyProtection="1">
      <alignment vertical="top"/>
    </xf>
    <xf numFmtId="2" fontId="0" fillId="3" borderId="9" xfId="0" applyNumberFormat="1" applyFill="1" applyBorder="1" applyProtection="1"/>
    <xf numFmtId="2" fontId="5" fillId="0" borderId="9" xfId="0" applyNumberFormat="1" applyFont="1" applyFill="1" applyBorder="1" applyAlignment="1" applyProtection="1">
      <alignment horizontal="center"/>
    </xf>
    <xf numFmtId="2" fontId="9" fillId="0" borderId="9" xfId="0" applyNumberFormat="1" applyFont="1" applyBorder="1" applyProtection="1"/>
    <xf numFmtId="2" fontId="5" fillId="7" borderId="9" xfId="0" applyNumberFormat="1" applyFont="1" applyFill="1" applyBorder="1" applyAlignment="1">
      <alignment horizontal="center"/>
    </xf>
    <xf numFmtId="2" fontId="5" fillId="7" borderId="9" xfId="0" applyNumberFormat="1" applyFont="1" applyFill="1" applyBorder="1" applyAlignment="1" applyProtection="1">
      <alignment horizontal="center"/>
    </xf>
    <xf numFmtId="2" fontId="5" fillId="0" borderId="9" xfId="0" applyNumberFormat="1" applyFont="1" applyFill="1" applyBorder="1" applyAlignment="1" applyProtection="1">
      <alignment horizontal="center"/>
      <protection locked="0"/>
    </xf>
    <xf numFmtId="2" fontId="9" fillId="0" borderId="0" xfId="0" applyNumberFormat="1" applyFont="1" applyProtection="1"/>
    <xf numFmtId="2" fontId="0" fillId="0" borderId="1" xfId="0" applyNumberFormat="1" applyBorder="1" applyAlignment="1" applyProtection="1">
      <alignment horizontal="center"/>
    </xf>
    <xf numFmtId="2" fontId="59" fillId="4" borderId="14" xfId="0" applyNumberFormat="1" applyFont="1" applyFill="1" applyBorder="1" applyAlignment="1" applyProtection="1">
      <alignment horizontal="right"/>
    </xf>
    <xf numFmtId="2" fontId="59" fillId="5" borderId="39" xfId="0" applyNumberFormat="1" applyFont="1" applyFill="1" applyBorder="1" applyAlignment="1">
      <alignment horizontal="center"/>
    </xf>
    <xf numFmtId="2" fontId="0" fillId="0" borderId="0" xfId="0" applyNumberFormat="1" applyFill="1" applyBorder="1" applyProtection="1"/>
    <xf numFmtId="2" fontId="0" fillId="0" borderId="0" xfId="0" applyNumberFormat="1" applyFill="1" applyBorder="1" applyProtection="1">
      <protection locked="0"/>
    </xf>
    <xf numFmtId="2" fontId="0" fillId="0" borderId="0" xfId="0" applyNumberFormat="1" applyProtection="1"/>
    <xf numFmtId="2" fontId="0" fillId="6" borderId="41" xfId="0" applyNumberFormat="1" applyFill="1" applyBorder="1" applyProtection="1"/>
    <xf numFmtId="2" fontId="0" fillId="6" borderId="41" xfId="0" applyNumberFormat="1" applyFill="1" applyBorder="1" applyProtection="1">
      <protection locked="0"/>
    </xf>
    <xf numFmtId="2" fontId="0" fillId="0" borderId="0" xfId="0" applyNumberFormat="1" applyBorder="1" applyAlignment="1" applyProtection="1">
      <alignment horizontal="center"/>
    </xf>
    <xf numFmtId="2" fontId="0" fillId="4" borderId="14" xfId="0" applyNumberFormat="1" applyFill="1" applyBorder="1" applyProtection="1"/>
    <xf numFmtId="2" fontId="59" fillId="5" borderId="38" xfId="0" applyNumberFormat="1" applyFont="1" applyFill="1" applyBorder="1" applyAlignment="1">
      <alignment horizontal="center"/>
    </xf>
    <xf numFmtId="2" fontId="5" fillId="0" borderId="0" xfId="0" applyNumberFormat="1" applyFont="1" applyAlignment="1" applyProtection="1">
      <alignment horizontal="right"/>
    </xf>
    <xf numFmtId="2" fontId="5" fillId="0" borderId="0" xfId="0" applyNumberFormat="1" applyFont="1" applyAlignment="1" applyProtection="1">
      <alignment horizontal="right"/>
      <protection locked="0"/>
    </xf>
    <xf numFmtId="2" fontId="58" fillId="5" borderId="39" xfId="0" applyNumberFormat="1" applyFont="1" applyFill="1" applyBorder="1" applyAlignment="1">
      <alignment horizontal="center"/>
    </xf>
    <xf numFmtId="2" fontId="59" fillId="5" borderId="14" xfId="0" applyNumberFormat="1" applyFont="1" applyFill="1" applyBorder="1" applyProtection="1"/>
    <xf numFmtId="0" fontId="1" fillId="0" borderId="9" xfId="0" applyFont="1" applyFill="1" applyBorder="1" applyAlignment="1" applyProtection="1">
      <alignment horizontal="center" wrapText="1"/>
    </xf>
    <xf numFmtId="49" fontId="1" fillId="0" borderId="9" xfId="0" applyNumberFormat="1" applyFont="1" applyFill="1" applyBorder="1" applyAlignment="1" applyProtection="1"/>
    <xf numFmtId="0" fontId="1" fillId="0" borderId="11" xfId="0" applyFont="1" applyBorder="1"/>
    <xf numFmtId="172" fontId="5" fillId="0" borderId="9" xfId="0" applyNumberFormat="1" applyFont="1" applyFill="1" applyBorder="1" applyAlignment="1" applyProtection="1">
      <alignment horizontal="center"/>
    </xf>
    <xf numFmtId="172" fontId="5" fillId="0" borderId="9" xfId="0" applyNumberFormat="1" applyFont="1" applyFill="1" applyBorder="1" applyAlignment="1" applyProtection="1">
      <alignment horizontal="center"/>
      <protection locked="0"/>
    </xf>
    <xf numFmtId="172" fontId="5" fillId="7" borderId="9" xfId="0" applyNumberFormat="1" applyFont="1" applyFill="1" applyBorder="1" applyAlignment="1">
      <alignment horizontal="center"/>
    </xf>
    <xf numFmtId="172" fontId="5" fillId="7" borderId="9" xfId="0" applyNumberFormat="1" applyFont="1" applyFill="1" applyBorder="1" applyAlignment="1" applyProtection="1">
      <alignment horizontal="center"/>
      <protection locked="0"/>
    </xf>
    <xf numFmtId="0" fontId="36" fillId="0" borderId="0" xfId="0" applyFont="1" applyBorder="1"/>
    <xf numFmtId="0" fontId="0" fillId="0" borderId="13" xfId="0" applyFill="1" applyBorder="1" applyAlignment="1" applyProtection="1"/>
    <xf numFmtId="0" fontId="34" fillId="0" borderId="11" xfId="4" applyFont="1" applyFill="1" applyBorder="1" applyAlignment="1" applyProtection="1"/>
    <xf numFmtId="0" fontId="1" fillId="0" borderId="9" xfId="0" applyFont="1" applyBorder="1"/>
    <xf numFmtId="0" fontId="31" fillId="0" borderId="9" xfId="0" applyFont="1" applyBorder="1"/>
    <xf numFmtId="0" fontId="1" fillId="0" borderId="9" xfId="0" applyFont="1" applyBorder="1" applyProtection="1"/>
    <xf numFmtId="0" fontId="31" fillId="0" borderId="9" xfId="0" applyFont="1" applyBorder="1" applyProtection="1"/>
    <xf numFmtId="0" fontId="34" fillId="0" borderId="13" xfId="4" applyFont="1" applyFill="1" applyBorder="1" applyAlignment="1" applyProtection="1"/>
    <xf numFmtId="0" fontId="31" fillId="0" borderId="0" xfId="0" applyFont="1" applyBorder="1" applyAlignment="1" applyProtection="1"/>
    <xf numFmtId="0" fontId="2" fillId="0" borderId="0" xfId="0" applyFont="1" applyBorder="1" applyAlignment="1" applyProtection="1">
      <alignment horizontal="center"/>
    </xf>
    <xf numFmtId="15" fontId="1" fillId="0" borderId="9" xfId="0" applyNumberFormat="1" applyFont="1" applyBorder="1" applyAlignment="1">
      <alignment horizontal="center"/>
    </xf>
    <xf numFmtId="0" fontId="1" fillId="0" borderId="9" xfId="0" applyFont="1" applyBorder="1" applyAlignment="1">
      <alignment horizontal="center"/>
    </xf>
    <xf numFmtId="0" fontId="7" fillId="0" borderId="9" xfId="0" applyFont="1" applyBorder="1" applyAlignment="1">
      <alignment horizontal="center" vertical="top"/>
    </xf>
    <xf numFmtId="49" fontId="1" fillId="0" borderId="9" xfId="0" applyNumberFormat="1" applyFont="1" applyBorder="1" applyAlignment="1">
      <alignment horizontal="center" vertical="top"/>
    </xf>
    <xf numFmtId="0" fontId="1" fillId="0" borderId="9" xfId="0" applyFont="1" applyBorder="1" applyAlignment="1">
      <alignment horizontal="center" vertical="top"/>
    </xf>
    <xf numFmtId="0" fontId="65" fillId="0" borderId="9" xfId="0" applyFont="1" applyBorder="1" applyAlignment="1">
      <alignment horizontal="center" vertical="top"/>
    </xf>
    <xf numFmtId="0" fontId="1" fillId="8" borderId="9" xfId="0" applyFont="1" applyFill="1" applyBorder="1" applyAlignment="1">
      <alignment horizontal="center" vertical="top"/>
    </xf>
    <xf numFmtId="49" fontId="1" fillId="8" borderId="9" xfId="0" applyNumberFormat="1" applyFont="1" applyFill="1" applyBorder="1" applyAlignment="1">
      <alignment horizontal="center" vertical="top"/>
    </xf>
    <xf numFmtId="171" fontId="1" fillId="0" borderId="9" xfId="1" applyNumberFormat="1" applyFont="1" applyBorder="1" applyAlignment="1">
      <alignment horizontal="center"/>
    </xf>
    <xf numFmtId="171" fontId="1" fillId="8" borderId="9" xfId="1" applyNumberFormat="1" applyFont="1" applyFill="1" applyBorder="1" applyAlignment="1">
      <alignment horizontal="center"/>
    </xf>
    <xf numFmtId="15" fontId="1" fillId="0" borderId="9" xfId="0" applyNumberFormat="1" applyFont="1" applyBorder="1" applyAlignment="1" applyProtection="1">
      <alignment horizontal="center"/>
    </xf>
    <xf numFmtId="49" fontId="1" fillId="0" borderId="9" xfId="0" applyNumberFormat="1" applyFont="1" applyBorder="1" applyAlignment="1" applyProtection="1">
      <alignment horizontal="center" vertical="top"/>
    </xf>
    <xf numFmtId="171" fontId="1" fillId="0" borderId="9" xfId="1" applyNumberFormat="1" applyFont="1" applyBorder="1" applyAlignment="1" applyProtection="1">
      <alignment horizontal="center"/>
    </xf>
    <xf numFmtId="0" fontId="1" fillId="0" borderId="9" xfId="0" applyFont="1" applyBorder="1" applyAlignment="1" applyProtection="1">
      <alignment horizontal="center" vertical="top"/>
    </xf>
    <xf numFmtId="0" fontId="65" fillId="0" borderId="9" xfId="0" applyFont="1" applyBorder="1" applyAlignment="1" applyProtection="1">
      <alignment horizontal="center" vertical="top"/>
    </xf>
    <xf numFmtId="0" fontId="1" fillId="8" borderId="9" xfId="0" applyFont="1" applyFill="1" applyBorder="1" applyAlignment="1" applyProtection="1">
      <alignment horizontal="center" vertical="top"/>
    </xf>
    <xf numFmtId="49" fontId="1" fillId="8" borderId="9" xfId="0" applyNumberFormat="1" applyFont="1" applyFill="1" applyBorder="1" applyAlignment="1" applyProtection="1">
      <alignment horizontal="center" vertical="top"/>
    </xf>
    <xf numFmtId="171" fontId="1" fillId="8" borderId="9" xfId="1" applyNumberFormat="1" applyFont="1" applyFill="1" applyBorder="1" applyAlignment="1" applyProtection="1">
      <alignment horizontal="center"/>
    </xf>
    <xf numFmtId="49" fontId="33" fillId="0" borderId="9" xfId="0" applyNumberFormat="1" applyFont="1" applyFill="1" applyBorder="1" applyAlignment="1">
      <alignment horizontal="center"/>
    </xf>
    <xf numFmtId="49" fontId="1" fillId="0" borderId="9" xfId="0" applyNumberFormat="1" applyFont="1" applyFill="1" applyBorder="1" applyAlignment="1">
      <alignment horizontal="center"/>
    </xf>
    <xf numFmtId="49" fontId="33" fillId="0" borderId="9" xfId="0" applyNumberFormat="1" applyFont="1" applyFill="1" applyBorder="1" applyAlignment="1">
      <alignment horizontal="center" vertical="top"/>
    </xf>
    <xf numFmtId="49" fontId="1" fillId="0" borderId="9" xfId="0" applyNumberFormat="1" applyFont="1" applyFill="1" applyBorder="1" applyAlignment="1" applyProtection="1">
      <alignment horizontal="center"/>
    </xf>
    <xf numFmtId="49" fontId="65" fillId="0" borderId="9" xfId="0" applyNumberFormat="1" applyFont="1" applyFill="1" applyBorder="1" applyAlignment="1">
      <alignment horizontal="center"/>
    </xf>
    <xf numFmtId="171" fontId="1" fillId="0" borderId="9" xfId="1" applyNumberFormat="1" applyFont="1" applyFill="1" applyBorder="1" applyAlignment="1" applyProtection="1">
      <alignment horizontal="center"/>
    </xf>
    <xf numFmtId="171" fontId="1" fillId="0" borderId="9" xfId="1" applyNumberFormat="1" applyFont="1" applyFill="1" applyBorder="1" applyAlignment="1">
      <alignment horizontal="center"/>
    </xf>
    <xf numFmtId="171" fontId="65" fillId="0" borderId="9" xfId="1" applyNumberFormat="1" applyFont="1" applyBorder="1" applyAlignment="1">
      <alignment horizontal="center"/>
    </xf>
    <xf numFmtId="171" fontId="65" fillId="0" borderId="9" xfId="1" applyNumberFormat="1" applyFont="1" applyBorder="1" applyAlignment="1" applyProtection="1">
      <alignment horizontal="center"/>
    </xf>
    <xf numFmtId="0" fontId="1" fillId="0" borderId="9" xfId="0" applyFont="1" applyFill="1" applyBorder="1" applyAlignment="1">
      <alignment horizontal="center"/>
    </xf>
    <xf numFmtId="0" fontId="65" fillId="0" borderId="9" xfId="0" applyFont="1" applyFill="1" applyBorder="1" applyAlignment="1">
      <alignment horizontal="center"/>
    </xf>
    <xf numFmtId="0" fontId="65" fillId="0" borderId="9" xfId="0" applyFont="1" applyFill="1" applyBorder="1" applyAlignment="1" applyProtection="1">
      <alignment horizontal="center"/>
    </xf>
    <xf numFmtId="0" fontId="1" fillId="0" borderId="0" xfId="0" applyFont="1" applyBorder="1" applyAlignment="1">
      <alignment horizontal="center"/>
    </xf>
    <xf numFmtId="0" fontId="0" fillId="6" borderId="46" xfId="0" applyFill="1" applyBorder="1"/>
    <xf numFmtId="0" fontId="5" fillId="0" borderId="9" xfId="0" applyFont="1" applyBorder="1" applyAlignment="1" applyProtection="1">
      <alignment horizontal="center" vertical="center"/>
      <protection locked="0"/>
    </xf>
    <xf numFmtId="0" fontId="5" fillId="0" borderId="9" xfId="0" applyFont="1" applyBorder="1" applyAlignment="1" applyProtection="1">
      <alignment horizontal="center" vertical="center"/>
    </xf>
    <xf numFmtId="0" fontId="5" fillId="0" borderId="15" xfId="0" applyFont="1" applyBorder="1" applyAlignment="1">
      <alignment vertical="center"/>
    </xf>
    <xf numFmtId="0" fontId="55" fillId="0" borderId="0" xfId="0" applyFont="1" applyAlignment="1" applyProtection="1">
      <alignment horizontal="left"/>
    </xf>
    <xf numFmtId="0" fontId="1" fillId="2" borderId="0" xfId="0" applyFont="1" applyFill="1" applyAlignment="1"/>
    <xf numFmtId="0" fontId="5" fillId="2" borderId="0" xfId="0" applyFont="1" applyFill="1" applyAlignment="1"/>
    <xf numFmtId="0" fontId="1" fillId="2" borderId="0" xfId="0" applyFont="1" applyFill="1" applyAlignment="1">
      <alignment vertical="top" wrapText="1"/>
    </xf>
    <xf numFmtId="0" fontId="0" fillId="8" borderId="0" xfId="0" applyFill="1" applyBorder="1"/>
    <xf numFmtId="0" fontId="1" fillId="8" borderId="0" xfId="0" applyFont="1" applyFill="1" applyBorder="1"/>
    <xf numFmtId="0" fontId="26" fillId="8" borderId="0" xfId="2" applyFill="1" applyAlignment="1" applyProtection="1">
      <alignment horizontal="left" vertical="top" wrapText="1"/>
    </xf>
    <xf numFmtId="0" fontId="47" fillId="8" borderId="0" xfId="0" applyFont="1" applyFill="1" applyAlignment="1">
      <alignment horizontal="left" vertical="top" wrapText="1"/>
    </xf>
    <xf numFmtId="0" fontId="0" fillId="8" borderId="0" xfId="0" applyFill="1"/>
    <xf numFmtId="0" fontId="48" fillId="8" borderId="0" xfId="0" applyFont="1" applyFill="1" applyAlignment="1">
      <alignment horizontal="left" vertical="top" wrapText="1"/>
    </xf>
    <xf numFmtId="0" fontId="49" fillId="8" borderId="1" xfId="2" applyFont="1" applyFill="1" applyBorder="1" applyAlignment="1" applyProtection="1">
      <alignment horizontal="left" wrapText="1"/>
    </xf>
    <xf numFmtId="2" fontId="1" fillId="0" borderId="9" xfId="0" applyNumberFormat="1" applyFont="1" applyFill="1" applyBorder="1" applyAlignment="1" applyProtection="1">
      <alignment horizontal="right"/>
    </xf>
    <xf numFmtId="166" fontId="1" fillId="0" borderId="9" xfId="0" applyNumberFormat="1" applyFont="1" applyFill="1" applyBorder="1" applyAlignment="1" applyProtection="1">
      <alignment horizontal="center"/>
    </xf>
    <xf numFmtId="165" fontId="1" fillId="0" borderId="9" xfId="0" applyNumberFormat="1" applyFont="1" applyFill="1" applyBorder="1" applyAlignment="1" applyProtection="1">
      <alignment horizontal="center"/>
    </xf>
    <xf numFmtId="1" fontId="1" fillId="0" borderId="9" xfId="0" applyNumberFormat="1" applyFont="1" applyFill="1" applyBorder="1" applyAlignment="1" applyProtection="1"/>
    <xf numFmtId="164" fontId="1" fillId="0" borderId="9" xfId="0" applyNumberFormat="1" applyFont="1" applyFill="1" applyBorder="1" applyAlignment="1" applyProtection="1">
      <alignment horizontal="center"/>
    </xf>
    <xf numFmtId="0" fontId="1" fillId="0" borderId="9" xfId="4" applyFont="1" applyFill="1" applyBorder="1" applyAlignment="1" applyProtection="1"/>
    <xf numFmtId="0" fontId="1" fillId="0" borderId="0" xfId="0" applyFont="1" applyFill="1" applyAlignment="1"/>
    <xf numFmtId="0" fontId="1" fillId="0" borderId="9" xfId="0" applyFont="1" applyFill="1" applyBorder="1" applyAlignment="1" applyProtection="1">
      <alignment horizontal="right"/>
    </xf>
    <xf numFmtId="166" fontId="1" fillId="0" borderId="0" xfId="0" applyNumberFormat="1" applyFont="1" applyFill="1" applyAlignment="1" applyProtection="1">
      <alignment horizontal="center"/>
    </xf>
    <xf numFmtId="0" fontId="1" fillId="0" borderId="0" xfId="0" applyFont="1" applyFill="1" applyAlignment="1" applyProtection="1">
      <alignment horizontal="center"/>
    </xf>
    <xf numFmtId="0" fontId="1" fillId="0" borderId="0" xfId="0" applyFont="1" applyFill="1"/>
    <xf numFmtId="49" fontId="33" fillId="0" borderId="9" xfId="0" applyNumberFormat="1" applyFont="1" applyFill="1" applyBorder="1" applyAlignment="1" applyProtection="1">
      <alignment horizontal="center" vertical="top"/>
    </xf>
    <xf numFmtId="15" fontId="1" fillId="0" borderId="9" xfId="0" applyNumberFormat="1" applyFont="1" applyFill="1" applyBorder="1" applyAlignment="1" applyProtection="1">
      <alignment horizontal="left" wrapText="1"/>
    </xf>
    <xf numFmtId="0" fontId="1" fillId="0" borderId="0" xfId="0" applyFont="1" applyBorder="1" applyAlignment="1" applyProtection="1">
      <alignment horizontal="center"/>
    </xf>
    <xf numFmtId="166" fontId="5" fillId="2" borderId="1" xfId="0" applyNumberFormat="1" applyFont="1" applyFill="1" applyBorder="1" applyAlignment="1">
      <alignment horizontal="center" wrapText="1"/>
    </xf>
    <xf numFmtId="0" fontId="5" fillId="2" borderId="1" xfId="0" applyFont="1" applyFill="1" applyBorder="1" applyAlignment="1">
      <alignment horizontal="left"/>
    </xf>
    <xf numFmtId="0" fontId="6" fillId="2" borderId="1" xfId="0" applyFont="1" applyFill="1" applyBorder="1" applyAlignment="1">
      <alignment horizontal="left"/>
    </xf>
    <xf numFmtId="0" fontId="0" fillId="8" borderId="47" xfId="0" applyFill="1" applyBorder="1" applyProtection="1"/>
    <xf numFmtId="0" fontId="0" fillId="8" borderId="0" xfId="0" applyFill="1" applyAlignment="1">
      <alignment wrapText="1"/>
    </xf>
    <xf numFmtId="0" fontId="1" fillId="8" borderId="0" xfId="0" applyFont="1" applyFill="1"/>
    <xf numFmtId="0" fontId="0" fillId="8" borderId="48" xfId="0" applyFill="1" applyBorder="1" applyProtection="1"/>
    <xf numFmtId="0" fontId="1" fillId="8" borderId="48" xfId="0" applyFont="1" applyFill="1" applyBorder="1" applyProtection="1"/>
    <xf numFmtId="1" fontId="0" fillId="8" borderId="48" xfId="0" applyNumberFormat="1" applyFill="1" applyBorder="1" applyAlignment="1" applyProtection="1">
      <alignment horizontal="center"/>
    </xf>
    <xf numFmtId="9" fontId="1" fillId="8" borderId="49" xfId="0" applyNumberFormat="1" applyFont="1" applyFill="1" applyBorder="1" applyAlignment="1" applyProtection="1">
      <alignment horizontal="center"/>
    </xf>
    <xf numFmtId="0" fontId="0" fillId="8" borderId="49" xfId="0" applyFill="1" applyBorder="1" applyProtection="1"/>
    <xf numFmtId="0" fontId="1" fillId="8" borderId="49" xfId="0" applyFont="1" applyFill="1" applyBorder="1" applyProtection="1"/>
    <xf numFmtId="1" fontId="0" fillId="8" borderId="49" xfId="0" applyNumberFormat="1" applyFill="1" applyBorder="1" applyAlignment="1" applyProtection="1">
      <alignment horizontal="center"/>
    </xf>
    <xf numFmtId="9" fontId="0" fillId="8" borderId="49" xfId="0" applyNumberFormat="1" applyFill="1" applyBorder="1" applyAlignment="1">
      <alignment horizontal="center"/>
    </xf>
    <xf numFmtId="9" fontId="0" fillId="8" borderId="48" xfId="0" applyNumberFormat="1" applyFill="1" applyBorder="1" applyAlignment="1">
      <alignment horizontal="center"/>
    </xf>
    <xf numFmtId="0" fontId="5" fillId="9" borderId="0" xfId="0" applyFont="1" applyFill="1" applyBorder="1" applyAlignment="1" applyProtection="1">
      <alignment horizontal="center"/>
    </xf>
    <xf numFmtId="0" fontId="5" fillId="9" borderId="50" xfId="0" applyFont="1" applyFill="1" applyBorder="1" applyAlignment="1" applyProtection="1">
      <alignment horizontal="center"/>
    </xf>
    <xf numFmtId="0" fontId="5" fillId="9" borderId="51" xfId="0" applyFont="1" applyFill="1" applyBorder="1" applyAlignment="1" applyProtection="1">
      <alignment horizontal="left"/>
    </xf>
    <xf numFmtId="1" fontId="1" fillId="8" borderId="49" xfId="0" applyNumberFormat="1" applyFont="1" applyFill="1" applyBorder="1" applyAlignment="1" applyProtection="1">
      <alignment horizontal="center"/>
    </xf>
    <xf numFmtId="0" fontId="1" fillId="8" borderId="49" xfId="0" applyFont="1" applyFill="1" applyBorder="1" applyAlignment="1" applyProtection="1">
      <alignment horizontal="left"/>
    </xf>
    <xf numFmtId="9" fontId="1" fillId="8" borderId="52" xfId="0" applyNumberFormat="1" applyFont="1" applyFill="1" applyBorder="1" applyAlignment="1" applyProtection="1">
      <alignment horizontal="center"/>
    </xf>
    <xf numFmtId="0" fontId="1" fillId="0" borderId="0" xfId="0" applyFont="1" applyProtection="1"/>
    <xf numFmtId="0" fontId="1" fillId="0" borderId="0" xfId="0" applyFont="1" applyAlignment="1" applyProtection="1"/>
    <xf numFmtId="0" fontId="31" fillId="0" borderId="0" xfId="0" applyFont="1"/>
    <xf numFmtId="0" fontId="1" fillId="0" borderId="0" xfId="0" applyFont="1" applyAlignment="1" applyProtection="1">
      <alignment horizontal="center"/>
    </xf>
    <xf numFmtId="49" fontId="1" fillId="0" borderId="9" xfId="0" applyNumberFormat="1" applyFont="1" applyFill="1" applyBorder="1" applyAlignment="1" applyProtection="1">
      <alignment horizontal="right"/>
    </xf>
    <xf numFmtId="0" fontId="1" fillId="0" borderId="0" xfId="0" applyFont="1" applyAlignment="1" applyProtection="1">
      <alignment horizontal="left"/>
    </xf>
    <xf numFmtId="166" fontId="0" fillId="0" borderId="0" xfId="0" applyNumberFormat="1" applyBorder="1" applyAlignment="1" applyProtection="1">
      <alignment horizontal="center"/>
    </xf>
    <xf numFmtId="1" fontId="0" fillId="0" borderId="0" xfId="0" applyNumberFormat="1" applyBorder="1" applyAlignment="1" applyProtection="1"/>
    <xf numFmtId="0" fontId="0" fillId="0" borderId="48" xfId="0" applyBorder="1"/>
    <xf numFmtId="0" fontId="1" fillId="8" borderId="48" xfId="0" applyFont="1" applyFill="1" applyBorder="1"/>
    <xf numFmtId="0" fontId="0" fillId="0" borderId="48" xfId="0" applyBorder="1" applyAlignment="1">
      <alignment horizontal="left"/>
    </xf>
    <xf numFmtId="0" fontId="0" fillId="0" borderId="49" xfId="0" applyBorder="1"/>
    <xf numFmtId="0" fontId="5" fillId="8" borderId="53" xfId="0" applyFont="1" applyFill="1" applyBorder="1" applyAlignment="1">
      <alignment wrapText="1"/>
    </xf>
    <xf numFmtId="0" fontId="5" fillId="8" borderId="53" xfId="0" applyFont="1" applyFill="1" applyBorder="1" applyAlignment="1">
      <alignment horizontal="center" wrapText="1"/>
    </xf>
    <xf numFmtId="0" fontId="1" fillId="0" borderId="11" xfId="0" applyFont="1" applyBorder="1" applyAlignment="1">
      <alignment horizontal="center"/>
    </xf>
    <xf numFmtId="0" fontId="1" fillId="0" borderId="0" xfId="0" applyFont="1"/>
    <xf numFmtId="0" fontId="33" fillId="0" borderId="9" xfId="4" applyFont="1" applyFill="1" applyBorder="1" applyAlignment="1">
      <alignment horizontal="center"/>
    </xf>
    <xf numFmtId="0" fontId="33" fillId="0" borderId="9" xfId="2" applyFont="1" applyFill="1" applyBorder="1" applyAlignment="1" applyProtection="1">
      <alignment horizontal="center" vertical="top"/>
    </xf>
    <xf numFmtId="0" fontId="1" fillId="0" borderId="9" xfId="4" applyFont="1" applyFill="1" applyBorder="1" applyAlignment="1" applyProtection="1">
      <alignment horizontal="center"/>
    </xf>
    <xf numFmtId="0" fontId="33" fillId="0" borderId="9" xfId="4" applyFont="1" applyFill="1" applyBorder="1" applyAlignment="1" applyProtection="1">
      <alignment horizontal="center"/>
    </xf>
    <xf numFmtId="0" fontId="65" fillId="0" borderId="9" xfId="4" applyFont="1" applyFill="1" applyBorder="1" applyAlignment="1">
      <alignment horizontal="center"/>
    </xf>
    <xf numFmtId="0" fontId="1" fillId="0" borderId="9" xfId="4" applyFont="1" applyFill="1" applyBorder="1" applyAlignment="1">
      <alignment horizontal="center"/>
    </xf>
    <xf numFmtId="0" fontId="33" fillId="0" borderId="9" xfId="0" applyFont="1" applyFill="1" applyBorder="1" applyAlignment="1">
      <alignment horizontal="center"/>
    </xf>
    <xf numFmtId="0" fontId="33" fillId="0" borderId="9" xfId="2" applyFont="1" applyFill="1" applyBorder="1" applyAlignment="1" applyProtection="1">
      <alignment horizontal="center"/>
    </xf>
    <xf numFmtId="0" fontId="65" fillId="0" borderId="9" xfId="4" applyFont="1" applyFill="1" applyBorder="1" applyAlignment="1" applyProtection="1">
      <alignment horizontal="center"/>
    </xf>
    <xf numFmtId="0" fontId="1" fillId="0" borderId="9" xfId="2" applyFont="1" applyFill="1" applyBorder="1" applyAlignment="1" applyProtection="1">
      <alignment horizontal="center"/>
    </xf>
    <xf numFmtId="0" fontId="66" fillId="0" borderId="9" xfId="4" applyFont="1" applyFill="1" applyBorder="1" applyAlignment="1">
      <alignment horizontal="center"/>
    </xf>
    <xf numFmtId="0" fontId="1" fillId="0" borderId="9" xfId="2" applyFont="1" applyFill="1" applyBorder="1" applyAlignment="1" applyProtection="1">
      <alignment horizontal="center" vertical="top"/>
    </xf>
    <xf numFmtId="0" fontId="65" fillId="0" borderId="9" xfId="2" applyFont="1" applyFill="1" applyBorder="1" applyAlignment="1" applyProtection="1">
      <alignment horizontal="center"/>
    </xf>
    <xf numFmtId="0" fontId="65" fillId="0" borderId="9" xfId="2" applyFont="1" applyFill="1" applyBorder="1" applyAlignment="1" applyProtection="1">
      <alignment horizontal="center" vertical="top"/>
    </xf>
    <xf numFmtId="0" fontId="33" fillId="0" borderId="9" xfId="0" applyFont="1" applyFill="1" applyBorder="1" applyAlignment="1" applyProtection="1">
      <alignment horizontal="center"/>
    </xf>
    <xf numFmtId="0" fontId="66" fillId="0" borderId="9" xfId="4" applyFont="1" applyFill="1" applyBorder="1" applyAlignment="1" applyProtection="1">
      <alignment horizontal="center"/>
    </xf>
    <xf numFmtId="0" fontId="59" fillId="0" borderId="9" xfId="0" applyFont="1" applyBorder="1" applyAlignment="1" applyProtection="1">
      <alignment horizontal="center"/>
    </xf>
    <xf numFmtId="0" fontId="59" fillId="0" borderId="9" xfId="0" applyFont="1" applyBorder="1" applyAlignment="1" applyProtection="1">
      <alignment horizontal="left" vertical="top"/>
    </xf>
    <xf numFmtId="0" fontId="67" fillId="0" borderId="9" xfId="2" applyFont="1" applyBorder="1" applyAlignment="1" applyProtection="1">
      <alignment horizontal="left" vertical="top"/>
    </xf>
    <xf numFmtId="0" fontId="59" fillId="0" borderId="9" xfId="0" applyFont="1" applyBorder="1" applyAlignment="1">
      <alignment horizontal="center" vertical="top"/>
    </xf>
    <xf numFmtId="49" fontId="59" fillId="0" borderId="9" xfId="0" applyNumberFormat="1" applyFont="1" applyBorder="1" applyAlignment="1">
      <alignment horizontal="center" vertical="top"/>
    </xf>
    <xf numFmtId="171" fontId="59" fillId="0" borderId="9" xfId="1" applyNumberFormat="1" applyFont="1" applyBorder="1" applyAlignment="1" applyProtection="1">
      <alignment horizontal="center"/>
    </xf>
    <xf numFmtId="171" fontId="59" fillId="0" borderId="9" xfId="1" applyNumberFormat="1" applyFont="1" applyBorder="1" applyAlignment="1">
      <alignment horizontal="center"/>
    </xf>
    <xf numFmtId="2" fontId="59" fillId="0" borderId="9" xfId="0" applyNumberFormat="1" applyFont="1" applyBorder="1" applyAlignment="1" applyProtection="1"/>
    <xf numFmtId="2" fontId="59" fillId="0" borderId="9" xfId="0" applyNumberFormat="1" applyFont="1" applyBorder="1" applyAlignment="1" applyProtection="1">
      <alignment horizontal="center"/>
    </xf>
    <xf numFmtId="3" fontId="59" fillId="0" borderId="9" xfId="0" applyNumberFormat="1" applyFont="1" applyBorder="1" applyAlignment="1" applyProtection="1">
      <alignment horizontal="center"/>
    </xf>
    <xf numFmtId="164" fontId="59" fillId="0" borderId="9" xfId="0" applyNumberFormat="1" applyFont="1" applyFill="1" applyBorder="1" applyAlignment="1" applyProtection="1">
      <alignment horizontal="center"/>
    </xf>
    <xf numFmtId="0" fontId="59" fillId="0" borderId="9" xfId="0" applyFont="1" applyBorder="1" applyAlignment="1" applyProtection="1"/>
    <xf numFmtId="0" fontId="59" fillId="0" borderId="9" xfId="5" applyNumberFormat="1" applyFont="1" applyFill="1" applyBorder="1" applyAlignment="1" applyProtection="1">
      <alignment horizontal="center" vertical="top"/>
    </xf>
    <xf numFmtId="0" fontId="59" fillId="0" borderId="9" xfId="5" applyFont="1" applyFill="1" applyBorder="1" applyAlignment="1" applyProtection="1">
      <alignment horizontal="left" vertical="top"/>
    </xf>
    <xf numFmtId="49" fontId="59" fillId="0" borderId="9" xfId="0" applyNumberFormat="1" applyFont="1" applyBorder="1" applyAlignment="1" applyProtection="1">
      <alignment horizontal="left" vertical="top"/>
    </xf>
    <xf numFmtId="0" fontId="59" fillId="0" borderId="0" xfId="0" applyFont="1"/>
    <xf numFmtId="0" fontId="59" fillId="0" borderId="0" xfId="0" applyFont="1" applyBorder="1" applyAlignment="1"/>
    <xf numFmtId="0" fontId="59" fillId="0" borderId="0" xfId="0" applyFont="1" applyAlignment="1"/>
    <xf numFmtId="0" fontId="59" fillId="0" borderId="9" xfId="0" applyFont="1" applyBorder="1" applyAlignment="1" applyProtection="1">
      <alignment horizontal="center" vertical="top"/>
    </xf>
    <xf numFmtId="49" fontId="59" fillId="0" borderId="9" xfId="0" applyNumberFormat="1" applyFont="1" applyBorder="1" applyAlignment="1" applyProtection="1">
      <alignment horizontal="center" vertical="top"/>
    </xf>
    <xf numFmtId="0" fontId="59" fillId="0" borderId="9" xfId="6" applyFont="1" applyFill="1" applyBorder="1" applyAlignment="1" applyProtection="1"/>
    <xf numFmtId="0" fontId="59" fillId="0" borderId="9" xfId="0" applyNumberFormat="1" applyFont="1" applyBorder="1" applyAlignment="1" applyProtection="1">
      <alignment horizontal="center" vertical="top"/>
    </xf>
    <xf numFmtId="164" fontId="59" fillId="0" borderId="9" xfId="0" applyNumberFormat="1" applyFont="1" applyBorder="1" applyAlignment="1" applyProtection="1">
      <alignment horizontal="center"/>
    </xf>
    <xf numFmtId="0" fontId="59" fillId="0" borderId="9" xfId="0" applyFont="1" applyFill="1" applyBorder="1" applyAlignment="1" applyProtection="1">
      <alignment horizontal="center"/>
    </xf>
    <xf numFmtId="0" fontId="59" fillId="0" borderId="9" xfId="0" applyFont="1" applyFill="1" applyBorder="1" applyAlignment="1" applyProtection="1"/>
    <xf numFmtId="0" fontId="59" fillId="0" borderId="9" xfId="4" applyFont="1" applyFill="1" applyBorder="1" applyAlignment="1">
      <alignment horizontal="center"/>
    </xf>
    <xf numFmtId="49" fontId="59" fillId="0" borderId="9" xfId="0" applyNumberFormat="1" applyFont="1" applyFill="1" applyBorder="1" applyAlignment="1">
      <alignment horizontal="center"/>
    </xf>
    <xf numFmtId="171" fontId="59" fillId="0" borderId="9" xfId="1" applyNumberFormat="1" applyFont="1" applyFill="1" applyBorder="1" applyAlignment="1" applyProtection="1">
      <alignment horizontal="center"/>
    </xf>
    <xf numFmtId="2" fontId="59" fillId="0" borderId="9" xfId="0" applyNumberFormat="1" applyFont="1" applyFill="1" applyBorder="1" applyAlignment="1" applyProtection="1">
      <alignment horizontal="right"/>
    </xf>
    <xf numFmtId="167" fontId="59" fillId="0" borderId="9" xfId="0" applyNumberFormat="1" applyFont="1" applyFill="1" applyBorder="1" applyAlignment="1" applyProtection="1">
      <alignment horizontal="center"/>
    </xf>
    <xf numFmtId="2" fontId="59" fillId="0" borderId="9" xfId="0" applyNumberFormat="1" applyFont="1" applyFill="1" applyBorder="1" applyAlignment="1" applyProtection="1">
      <alignment horizontal="center"/>
    </xf>
    <xf numFmtId="165" fontId="59" fillId="0" borderId="9" xfId="0" applyNumberFormat="1" applyFont="1" applyFill="1" applyBorder="1" applyAlignment="1" applyProtection="1">
      <alignment horizontal="center"/>
    </xf>
    <xf numFmtId="1" fontId="59" fillId="0" borderId="9" xfId="0" applyNumberFormat="1" applyFont="1" applyFill="1" applyBorder="1" applyAlignment="1" applyProtection="1"/>
    <xf numFmtId="3" fontId="59" fillId="0" borderId="9" xfId="0" applyNumberFormat="1" applyFont="1" applyFill="1" applyBorder="1" applyAlignment="1" applyProtection="1">
      <alignment horizontal="center"/>
    </xf>
    <xf numFmtId="49" fontId="59" fillId="0" borderId="9" xfId="0" applyNumberFormat="1" applyFont="1" applyFill="1" applyBorder="1" applyAlignment="1" applyProtection="1">
      <alignment horizontal="right"/>
    </xf>
    <xf numFmtId="0" fontId="59" fillId="0" borderId="9" xfId="4" applyNumberFormat="1" applyFont="1" applyFill="1" applyBorder="1" applyAlignment="1" applyProtection="1">
      <alignment horizontal="center"/>
    </xf>
    <xf numFmtId="0" fontId="59" fillId="0" borderId="9" xfId="4" applyFont="1" applyFill="1" applyBorder="1" applyAlignment="1" applyProtection="1"/>
    <xf numFmtId="49" fontId="59" fillId="0" borderId="9" xfId="0" applyNumberFormat="1" applyFont="1" applyFill="1" applyBorder="1" applyAlignment="1" applyProtection="1"/>
    <xf numFmtId="0" fontId="59" fillId="0" borderId="0" xfId="0" applyFont="1" applyFill="1" applyAlignment="1"/>
    <xf numFmtId="0" fontId="68" fillId="0" borderId="9" xfId="2" applyFont="1" applyFill="1" applyBorder="1" applyAlignment="1" applyProtection="1"/>
    <xf numFmtId="0" fontId="59" fillId="0" borderId="9" xfId="2" applyFont="1" applyFill="1" applyBorder="1" applyAlignment="1" applyProtection="1">
      <alignment horizontal="center"/>
    </xf>
    <xf numFmtId="0" fontId="59" fillId="0" borderId="9" xfId="4" applyFont="1" applyFill="1" applyBorder="1" applyAlignment="1" applyProtection="1">
      <alignment horizontal="center"/>
    </xf>
    <xf numFmtId="49" fontId="59" fillId="0" borderId="9" xfId="0" applyNumberFormat="1" applyFont="1" applyFill="1" applyBorder="1" applyAlignment="1" applyProtection="1">
      <alignment horizontal="center"/>
    </xf>
    <xf numFmtId="166" fontId="59" fillId="0" borderId="9" xfId="0" applyNumberFormat="1" applyFont="1" applyFill="1" applyBorder="1" applyAlignment="1" applyProtection="1">
      <alignment horizontal="center"/>
    </xf>
    <xf numFmtId="0" fontId="68" fillId="0" borderId="9" xfId="4" applyFont="1" applyFill="1" applyBorder="1" applyAlignment="1" applyProtection="1"/>
    <xf numFmtId="0" fontId="68" fillId="0" borderId="9" xfId="0" applyFont="1" applyFill="1" applyBorder="1" applyAlignment="1" applyProtection="1"/>
    <xf numFmtId="0" fontId="68" fillId="0" borderId="9" xfId="2" applyFont="1" applyFill="1" applyBorder="1" applyAlignment="1" applyProtection="1">
      <alignment horizontal="left" vertical="top"/>
    </xf>
    <xf numFmtId="0" fontId="59" fillId="0" borderId="9" xfId="2" applyFont="1" applyFill="1" applyBorder="1" applyAlignment="1" applyProtection="1">
      <alignment horizontal="center" vertical="top"/>
    </xf>
    <xf numFmtId="0" fontId="0" fillId="0" borderId="11" xfId="0" applyFill="1" applyBorder="1" applyAlignment="1" applyProtection="1"/>
    <xf numFmtId="0" fontId="68" fillId="0" borderId="9" xfId="0" applyFont="1" applyBorder="1"/>
    <xf numFmtId="171" fontId="1" fillId="0" borderId="0" xfId="1" applyNumberFormat="1" applyFont="1" applyBorder="1" applyAlignment="1">
      <alignment horizontal="center"/>
    </xf>
    <xf numFmtId="0" fontId="59" fillId="0" borderId="9" xfId="0" applyFont="1" applyBorder="1" applyAlignment="1">
      <alignment horizontal="center"/>
    </xf>
    <xf numFmtId="0" fontId="34" fillId="0" borderId="0" xfId="4" applyFont="1" applyFill="1" applyBorder="1" applyAlignment="1" applyProtection="1"/>
    <xf numFmtId="0" fontId="7" fillId="0" borderId="0" xfId="0" applyFont="1" applyAlignment="1" applyProtection="1">
      <alignment horizontal="left" vertical="top"/>
    </xf>
    <xf numFmtId="0" fontId="59" fillId="0" borderId="9" xfId="0" applyFont="1" applyBorder="1"/>
    <xf numFmtId="0" fontId="32" fillId="0" borderId="0" xfId="2" applyFont="1" applyBorder="1" applyAlignment="1" applyProtection="1">
      <alignment horizontal="left" vertical="top"/>
    </xf>
    <xf numFmtId="0" fontId="68" fillId="0" borderId="9" xfId="0" applyFont="1" applyBorder="1" applyAlignment="1" applyProtection="1"/>
    <xf numFmtId="0" fontId="7" fillId="0" borderId="0" xfId="0" applyFont="1" applyAlignment="1">
      <alignment horizontal="center" vertical="top"/>
    </xf>
    <xf numFmtId="0" fontId="1" fillId="0" borderId="0" xfId="0" applyFont="1" applyAlignment="1">
      <alignment horizontal="center" vertical="top"/>
    </xf>
    <xf numFmtId="49" fontId="1" fillId="0" borderId="0" xfId="0" applyNumberFormat="1" applyFont="1" applyAlignment="1">
      <alignment horizontal="center" vertical="top"/>
    </xf>
    <xf numFmtId="166" fontId="59" fillId="0" borderId="9" xfId="0" applyNumberFormat="1" applyFont="1" applyBorder="1" applyAlignment="1" applyProtection="1">
      <alignment horizontal="center"/>
    </xf>
    <xf numFmtId="2" fontId="2" fillId="0" borderId="0" xfId="0" applyNumberFormat="1" applyFont="1" applyAlignment="1" applyProtection="1">
      <alignment horizontal="center"/>
    </xf>
    <xf numFmtId="168" fontId="2" fillId="0" borderId="0" xfId="0" applyNumberFormat="1" applyFont="1" applyFill="1" applyAlignment="1" applyProtection="1">
      <alignment horizontal="right" vertical="top"/>
    </xf>
    <xf numFmtId="3" fontId="2" fillId="0" borderId="0" xfId="0" applyNumberFormat="1" applyFont="1" applyAlignment="1" applyProtection="1">
      <alignment horizontal="center"/>
    </xf>
    <xf numFmtId="1" fontId="59" fillId="0" borderId="9" xfId="0" applyNumberFormat="1" applyFont="1" applyBorder="1" applyAlignment="1" applyProtection="1"/>
    <xf numFmtId="164" fontId="2" fillId="0" borderId="0" xfId="0" applyNumberFormat="1" applyFont="1" applyFill="1" applyAlignment="1" applyProtection="1">
      <alignment horizontal="center"/>
    </xf>
    <xf numFmtId="0" fontId="7" fillId="0" borderId="0" xfId="5" applyNumberFormat="1" applyFont="1" applyFill="1" applyBorder="1" applyAlignment="1" applyProtection="1">
      <alignment horizontal="center" vertical="top"/>
    </xf>
    <xf numFmtId="0" fontId="7" fillId="0" borderId="0" xfId="5" applyFont="1" applyFill="1" applyBorder="1" applyAlignment="1" applyProtection="1">
      <alignment horizontal="left" vertical="top"/>
    </xf>
    <xf numFmtId="49" fontId="2" fillId="0" borderId="0" xfId="0" applyNumberFormat="1" applyFont="1" applyAlignment="1" applyProtection="1">
      <alignment horizontal="left" vertical="top"/>
    </xf>
    <xf numFmtId="171" fontId="1" fillId="0" borderId="0" xfId="1" applyNumberFormat="1" applyFont="1" applyBorder="1" applyAlignment="1" applyProtection="1">
      <alignment horizontal="center"/>
    </xf>
    <xf numFmtId="0" fontId="68" fillId="0" borderId="9" xfId="0" applyFont="1" applyBorder="1" applyProtection="1"/>
    <xf numFmtId="0" fontId="59" fillId="0" borderId="9" xfId="0" applyFont="1" applyBorder="1" applyProtection="1"/>
    <xf numFmtId="0" fontId="59" fillId="0" borderId="0" xfId="0" applyFont="1" applyFill="1" applyAlignment="1">
      <alignment vertical="top"/>
    </xf>
    <xf numFmtId="0" fontId="52" fillId="0" borderId="0" xfId="0" applyFont="1" applyFill="1" applyBorder="1" applyAlignment="1" applyProtection="1"/>
    <xf numFmtId="0" fontId="52" fillId="0" borderId="0" xfId="2" applyFont="1" applyFill="1" applyBorder="1" applyAlignment="1" applyProtection="1">
      <alignment horizontal="left" vertical="top"/>
    </xf>
    <xf numFmtId="0" fontId="52" fillId="0" borderId="0" xfId="0" applyFont="1" applyBorder="1"/>
    <xf numFmtId="0" fontId="52" fillId="0" borderId="0" xfId="2" applyFont="1" applyFill="1" applyBorder="1" applyAlignment="1" applyProtection="1"/>
    <xf numFmtId="2" fontId="2" fillId="0" borderId="0" xfId="0" applyNumberFormat="1" applyFont="1" applyBorder="1" applyAlignment="1" applyProtection="1"/>
    <xf numFmtId="2" fontId="2" fillId="0" borderId="0" xfId="0" applyNumberFormat="1" applyFont="1" applyBorder="1" applyAlignment="1" applyProtection="1">
      <alignment horizontal="center"/>
    </xf>
    <xf numFmtId="171" fontId="2" fillId="0" borderId="11" xfId="1" applyNumberFormat="1" applyFont="1" applyBorder="1" applyAlignment="1" applyProtection="1">
      <alignment horizontal="center"/>
    </xf>
    <xf numFmtId="0" fontId="52" fillId="0" borderId="0" xfId="0" applyFont="1" applyBorder="1" applyAlignment="1" applyProtection="1"/>
    <xf numFmtId="0" fontId="36" fillId="0" borderId="0" xfId="0" applyFont="1" applyBorder="1" applyAlignment="1" applyProtection="1"/>
    <xf numFmtId="0" fontId="52" fillId="0" borderId="0" xfId="2" applyFont="1" applyBorder="1" applyAlignment="1" applyProtection="1">
      <alignment horizontal="left" vertical="top"/>
    </xf>
    <xf numFmtId="0" fontId="52" fillId="0" borderId="0" xfId="4" applyFont="1" applyFill="1" applyBorder="1" applyAlignment="1" applyProtection="1"/>
    <xf numFmtId="0" fontId="36" fillId="0" borderId="0" xfId="4" applyFont="1" applyFill="1" applyBorder="1" applyAlignment="1" applyProtection="1"/>
    <xf numFmtId="0" fontId="2" fillId="0" borderId="11" xfId="0" applyFont="1" applyBorder="1" applyAlignment="1" applyProtection="1">
      <alignment horizontal="left" vertical="top"/>
    </xf>
    <xf numFmtId="49" fontId="59" fillId="0" borderId="9" xfId="0" applyNumberFormat="1" applyFont="1" applyFill="1" applyBorder="1" applyAlignment="1" applyProtection="1">
      <alignment horizontal="left"/>
    </xf>
    <xf numFmtId="0" fontId="1" fillId="0" borderId="9" xfId="0" applyFont="1" applyFill="1" applyBorder="1" applyAlignment="1" applyProtection="1">
      <alignment horizontal="left"/>
    </xf>
    <xf numFmtId="0" fontId="31" fillId="0" borderId="9" xfId="0" applyFont="1" applyFill="1" applyBorder="1" applyAlignment="1" applyProtection="1"/>
    <xf numFmtId="3" fontId="1" fillId="0" borderId="9" xfId="0" applyNumberFormat="1" applyFont="1" applyFill="1" applyBorder="1" applyAlignment="1" applyProtection="1">
      <alignment horizontal="center"/>
    </xf>
    <xf numFmtId="0" fontId="65" fillId="0" borderId="0" xfId="0" applyFont="1"/>
    <xf numFmtId="0" fontId="1" fillId="0" borderId="9" xfId="0" applyFont="1" applyFill="1" applyBorder="1"/>
    <xf numFmtId="15" fontId="1" fillId="0" borderId="9" xfId="0" applyNumberFormat="1" applyFont="1" applyFill="1" applyBorder="1" applyAlignment="1" applyProtection="1">
      <alignment horizontal="center" wrapText="1"/>
    </xf>
    <xf numFmtId="166" fontId="1" fillId="0" borderId="9" xfId="0" applyNumberFormat="1" applyFont="1" applyFill="1" applyBorder="1" applyAlignment="1" applyProtection="1">
      <alignment horizontal="center" wrapText="1"/>
    </xf>
    <xf numFmtId="0" fontId="0" fillId="0" borderId="9" xfId="0" applyFill="1" applyBorder="1" applyAlignment="1" applyProtection="1">
      <alignment horizontal="left" wrapText="1"/>
    </xf>
    <xf numFmtId="15" fontId="1" fillId="0" borderId="9" xfId="0" applyNumberFormat="1" applyFont="1" applyFill="1" applyBorder="1" applyAlignment="1" applyProtection="1">
      <alignment horizontal="left"/>
    </xf>
    <xf numFmtId="1" fontId="1" fillId="0" borderId="9" xfId="0" applyNumberFormat="1" applyFont="1" applyFill="1" applyBorder="1" applyAlignment="1" applyProtection="1">
      <alignment horizontal="center"/>
    </xf>
    <xf numFmtId="0" fontId="0" fillId="0" borderId="9" xfId="0" applyFill="1" applyBorder="1" applyAlignment="1" applyProtection="1">
      <alignment horizontal="left"/>
    </xf>
    <xf numFmtId="165" fontId="43" fillId="0" borderId="9" xfId="0" applyNumberFormat="1" applyFont="1" applyFill="1" applyBorder="1" applyAlignment="1" applyProtection="1">
      <alignment horizontal="center"/>
    </xf>
    <xf numFmtId="166" fontId="43" fillId="0" borderId="9" xfId="0" applyNumberFormat="1" applyFont="1" applyFill="1" applyBorder="1" applyAlignment="1" applyProtection="1">
      <alignment horizontal="center"/>
    </xf>
    <xf numFmtId="164" fontId="43" fillId="0" borderId="9" xfId="0" applyNumberFormat="1" applyFont="1" applyFill="1" applyBorder="1" applyAlignment="1" applyProtection="1">
      <alignment horizontal="center"/>
    </xf>
    <xf numFmtId="0" fontId="1" fillId="0" borderId="9" xfId="0" applyFont="1" applyFill="1" applyBorder="1" applyAlignment="1">
      <alignment horizontal="left"/>
    </xf>
    <xf numFmtId="0" fontId="31" fillId="0" borderId="9" xfId="0" applyFont="1" applyFill="1" applyBorder="1"/>
    <xf numFmtId="3" fontId="1" fillId="0" borderId="9" xfId="0" applyNumberFormat="1" applyFont="1" applyFill="1" applyBorder="1" applyAlignment="1">
      <alignment horizontal="center"/>
    </xf>
    <xf numFmtId="167" fontId="43" fillId="0" borderId="9" xfId="0" applyNumberFormat="1" applyFont="1" applyFill="1" applyBorder="1" applyAlignment="1" applyProtection="1">
      <alignment horizontal="center"/>
    </xf>
    <xf numFmtId="2" fontId="43" fillId="0" borderId="9" xfId="0" applyNumberFormat="1" applyFont="1" applyFill="1" applyBorder="1" applyAlignment="1" applyProtection="1">
      <alignment horizontal="center"/>
    </xf>
    <xf numFmtId="0" fontId="65" fillId="0" borderId="9" xfId="0" applyFont="1" applyFill="1" applyBorder="1"/>
    <xf numFmtId="0" fontId="31" fillId="0" borderId="0" xfId="0" applyFont="1" applyProtection="1"/>
    <xf numFmtId="0" fontId="31" fillId="0" borderId="9" xfId="0" applyFont="1" applyFill="1" applyBorder="1" applyAlignment="1" applyProtection="1">
      <alignment horizontal="left" wrapText="1"/>
    </xf>
    <xf numFmtId="0" fontId="31" fillId="0" borderId="9" xfId="0" applyFont="1" applyBorder="1" applyAlignment="1" applyProtection="1">
      <alignment horizontal="left" wrapText="1"/>
    </xf>
    <xf numFmtId="3" fontId="0" fillId="0" borderId="0" xfId="0" applyNumberFormat="1" applyAlignment="1" applyProtection="1">
      <alignment horizontal="center"/>
    </xf>
    <xf numFmtId="3" fontId="1" fillId="0" borderId="9" xfId="0" applyNumberFormat="1" applyFont="1" applyFill="1" applyBorder="1" applyAlignment="1" applyProtection="1">
      <alignment horizontal="center" wrapText="1"/>
    </xf>
    <xf numFmtId="168" fontId="0" fillId="0" borderId="0" xfId="0" applyNumberFormat="1" applyAlignment="1" applyProtection="1">
      <alignment horizontal="center"/>
    </xf>
    <xf numFmtId="168" fontId="1" fillId="0" borderId="9" xfId="0" applyNumberFormat="1" applyFont="1" applyFill="1" applyBorder="1" applyAlignment="1" applyProtection="1">
      <alignment horizontal="center" wrapText="1"/>
    </xf>
    <xf numFmtId="168" fontId="1" fillId="0" borderId="9" xfId="0" applyNumberFormat="1" applyFont="1" applyFill="1" applyBorder="1" applyAlignment="1" applyProtection="1">
      <alignment horizontal="center"/>
    </xf>
    <xf numFmtId="168" fontId="1" fillId="0" borderId="9" xfId="0" applyNumberFormat="1" applyFont="1" applyFill="1" applyBorder="1" applyAlignment="1">
      <alignment horizontal="center"/>
    </xf>
    <xf numFmtId="168" fontId="2" fillId="0" borderId="9" xfId="0" applyNumberFormat="1" applyFont="1" applyFill="1" applyBorder="1" applyAlignment="1" applyProtection="1">
      <alignment horizontal="center"/>
    </xf>
    <xf numFmtId="168" fontId="59" fillId="0" borderId="9" xfId="0" applyNumberFormat="1" applyFont="1" applyFill="1" applyBorder="1" applyAlignment="1" applyProtection="1">
      <alignment horizontal="center"/>
    </xf>
    <xf numFmtId="168" fontId="1" fillId="0" borderId="9" xfId="1" applyNumberFormat="1" applyFont="1" applyFill="1" applyBorder="1" applyAlignment="1" applyProtection="1">
      <alignment horizontal="center"/>
    </xf>
    <xf numFmtId="168" fontId="2" fillId="0" borderId="0" xfId="0" applyNumberFormat="1" applyFont="1" applyAlignment="1" applyProtection="1">
      <alignment horizontal="center"/>
    </xf>
    <xf numFmtId="165" fontId="1" fillId="0" borderId="9" xfId="0" applyNumberFormat="1" applyFont="1" applyFill="1" applyBorder="1" applyAlignment="1">
      <alignment horizontal="center"/>
    </xf>
    <xf numFmtId="165" fontId="0" fillId="0" borderId="0" xfId="0" applyNumberFormat="1" applyAlignment="1" applyProtection="1">
      <alignment horizontal="center"/>
    </xf>
    <xf numFmtId="165" fontId="1" fillId="0" borderId="9" xfId="0" applyNumberFormat="1" applyFont="1" applyFill="1" applyBorder="1" applyAlignment="1" applyProtection="1">
      <alignment horizontal="center" wrapText="1"/>
    </xf>
    <xf numFmtId="165" fontId="1" fillId="0" borderId="9" xfId="1" applyNumberFormat="1" applyFont="1" applyFill="1" applyBorder="1" applyAlignment="1" applyProtection="1">
      <alignment horizontal="center"/>
    </xf>
    <xf numFmtId="165" fontId="2" fillId="0" borderId="0" xfId="0" applyNumberFormat="1" applyFont="1" applyAlignment="1" applyProtection="1">
      <alignment horizontal="center"/>
    </xf>
    <xf numFmtId="3" fontId="43" fillId="0" borderId="9" xfId="0" applyNumberFormat="1" applyFont="1" applyFill="1" applyBorder="1" applyAlignment="1" applyProtection="1">
      <alignment horizontal="center"/>
    </xf>
    <xf numFmtId="165" fontId="2" fillId="0" borderId="9" xfId="0" applyNumberFormat="1" applyFont="1" applyBorder="1" applyAlignment="1" applyProtection="1">
      <alignment horizontal="center"/>
    </xf>
    <xf numFmtId="165" fontId="59" fillId="0" borderId="9" xfId="0" applyNumberFormat="1" applyFont="1" applyBorder="1" applyAlignment="1" applyProtection="1">
      <alignment horizontal="center"/>
    </xf>
    <xf numFmtId="165" fontId="59" fillId="0" borderId="9" xfId="0" applyNumberFormat="1" applyFont="1" applyFill="1" applyBorder="1" applyAlignment="1" applyProtection="1">
      <alignment horizontal="center" vertical="top"/>
    </xf>
    <xf numFmtId="165" fontId="59" fillId="0" borderId="9" xfId="0" applyNumberFormat="1" applyFont="1" applyBorder="1" applyAlignment="1">
      <alignment horizontal="center"/>
    </xf>
    <xf numFmtId="165" fontId="2" fillId="0" borderId="9" xfId="0" applyNumberFormat="1" applyFont="1" applyBorder="1" applyAlignment="1" applyProtection="1">
      <alignment horizontal="center" vertical="top"/>
    </xf>
    <xf numFmtId="0" fontId="2" fillId="0" borderId="16" xfId="0" applyFont="1" applyFill="1" applyBorder="1" applyAlignment="1" applyProtection="1">
      <alignment horizontal="center"/>
    </xf>
    <xf numFmtId="0" fontId="0" fillId="0" borderId="9" xfId="0" applyFill="1" applyBorder="1" applyAlignment="1" applyProtection="1">
      <alignment horizontal="center"/>
    </xf>
    <xf numFmtId="0" fontId="34" fillId="0" borderId="11" xfId="2" applyFont="1" applyFill="1" applyBorder="1" applyAlignment="1" applyProtection="1"/>
    <xf numFmtId="0" fontId="31" fillId="0" borderId="9" xfId="0" applyFont="1" applyFill="1" applyBorder="1" applyProtection="1"/>
    <xf numFmtId="0" fontId="1" fillId="0" borderId="9" xfId="0" applyFont="1" applyFill="1" applyBorder="1" applyProtection="1"/>
    <xf numFmtId="0" fontId="0" fillId="8" borderId="48" xfId="0" applyFill="1" applyBorder="1" applyAlignment="1">
      <alignment horizontal="center"/>
    </xf>
    <xf numFmtId="1" fontId="0" fillId="8" borderId="48" xfId="0" applyNumberFormat="1" applyFill="1" applyBorder="1" applyAlignment="1">
      <alignment horizontal="center"/>
    </xf>
    <xf numFmtId="0" fontId="53" fillId="8" borderId="0" xfId="0" applyFont="1" applyFill="1" applyBorder="1" applyAlignment="1" applyProtection="1">
      <alignment horizontal="center" wrapText="1"/>
    </xf>
    <xf numFmtId="0" fontId="1" fillId="8" borderId="0" xfId="0" applyFont="1" applyFill="1" applyBorder="1" applyAlignment="1" applyProtection="1">
      <alignment horizontal="center" wrapText="1"/>
    </xf>
    <xf numFmtId="170" fontId="54" fillId="8" borderId="0" xfId="0" applyNumberFormat="1" applyFont="1" applyFill="1" applyBorder="1" applyAlignment="1" applyProtection="1">
      <alignment horizontal="center" wrapText="1"/>
    </xf>
    <xf numFmtId="170" fontId="1" fillId="8" borderId="0" xfId="0" applyNumberFormat="1" applyFont="1" applyFill="1" applyBorder="1" applyAlignment="1" applyProtection="1">
      <alignment horizontal="center" wrapText="1"/>
    </xf>
    <xf numFmtId="0" fontId="1" fillId="2" borderId="54" xfId="0" applyFont="1" applyFill="1" applyBorder="1" applyAlignment="1" applyProtection="1">
      <alignment horizontal="left"/>
    </xf>
    <xf numFmtId="0" fontId="1" fillId="2" borderId="54" xfId="0" applyFont="1" applyFill="1" applyBorder="1" applyAlignment="1" applyProtection="1">
      <alignment horizontal="right"/>
    </xf>
    <xf numFmtId="0" fontId="1" fillId="2" borderId="54" xfId="0" applyFont="1" applyFill="1" applyBorder="1" applyAlignment="1" applyProtection="1">
      <alignment horizontal="right" vertical="top"/>
    </xf>
    <xf numFmtId="0" fontId="1" fillId="2" borderId="54" xfId="0" applyFont="1" applyFill="1" applyBorder="1" applyAlignment="1" applyProtection="1">
      <alignment horizontal="left" vertical="top"/>
    </xf>
    <xf numFmtId="0" fontId="1" fillId="2" borderId="54" xfId="0" applyFont="1" applyFill="1" applyBorder="1" applyAlignment="1" applyProtection="1"/>
    <xf numFmtId="2" fontId="1" fillId="2" borderId="54" xfId="0" applyNumberFormat="1" applyFont="1" applyFill="1" applyBorder="1" applyAlignment="1" applyProtection="1">
      <alignment horizontal="left"/>
    </xf>
    <xf numFmtId="0" fontId="1" fillId="2" borderId="54" xfId="0" applyFont="1" applyFill="1" applyBorder="1" applyProtection="1"/>
    <xf numFmtId="0" fontId="1" fillId="2" borderId="55" xfId="0" applyFont="1" applyFill="1" applyBorder="1" applyAlignment="1" applyProtection="1"/>
    <xf numFmtId="0" fontId="1" fillId="2" borderId="56" xfId="0" applyFont="1" applyFill="1" applyBorder="1" applyAlignment="1" applyProtection="1"/>
    <xf numFmtId="0" fontId="1" fillId="2" borderId="57" xfId="0" applyFont="1" applyFill="1" applyBorder="1" applyAlignment="1" applyProtection="1"/>
    <xf numFmtId="1" fontId="1" fillId="8" borderId="54" xfId="0" applyNumberFormat="1" applyFont="1" applyFill="1" applyBorder="1" applyAlignment="1" applyProtection="1">
      <alignment horizontal="center"/>
    </xf>
    <xf numFmtId="1" fontId="0" fillId="8" borderId="54" xfId="0" applyNumberFormat="1" applyFill="1" applyBorder="1" applyAlignment="1">
      <alignment horizontal="center"/>
    </xf>
    <xf numFmtId="0" fontId="0" fillId="8" borderId="54" xfId="0" applyFill="1" applyBorder="1" applyProtection="1"/>
    <xf numFmtId="0" fontId="0" fillId="0" borderId="58" xfId="0" applyBorder="1"/>
    <xf numFmtId="9" fontId="0" fillId="8" borderId="58" xfId="0" applyNumberFormat="1" applyFill="1" applyBorder="1" applyAlignment="1">
      <alignment horizontal="center"/>
    </xf>
    <xf numFmtId="0" fontId="1" fillId="8" borderId="54" xfId="0" applyFont="1" applyFill="1" applyBorder="1" applyAlignment="1" applyProtection="1">
      <alignment horizontal="right"/>
    </xf>
    <xf numFmtId="9" fontId="1" fillId="2" borderId="54" xfId="0" applyNumberFormat="1" applyFont="1" applyFill="1" applyBorder="1" applyAlignment="1" applyProtection="1">
      <alignment horizontal="center"/>
    </xf>
    <xf numFmtId="0" fontId="36" fillId="0" borderId="0" xfId="0" applyFont="1" applyFill="1" applyBorder="1" applyAlignment="1" applyProtection="1">
      <alignment horizontal="left"/>
    </xf>
    <xf numFmtId="0" fontId="52" fillId="0" borderId="0" xfId="0" applyFont="1" applyFill="1" applyBorder="1"/>
    <xf numFmtId="0" fontId="36" fillId="0" borderId="0" xfId="0" applyFont="1" applyFill="1" applyBorder="1" applyAlignment="1">
      <alignment horizontal="left"/>
    </xf>
    <xf numFmtId="0" fontId="36" fillId="0" borderId="0" xfId="0" applyFont="1" applyFill="1" applyBorder="1"/>
    <xf numFmtId="0" fontId="6" fillId="0" borderId="59" xfId="0" applyFont="1" applyBorder="1"/>
    <xf numFmtId="0" fontId="1" fillId="8" borderId="48" xfId="0" applyFont="1" applyFill="1" applyBorder="1" applyAlignment="1" applyProtection="1">
      <alignment horizontal="left"/>
    </xf>
    <xf numFmtId="1" fontId="1" fillId="8" borderId="48" xfId="0" applyNumberFormat="1" applyFont="1" applyFill="1" applyBorder="1" applyAlignment="1" applyProtection="1">
      <alignment horizontal="center"/>
    </xf>
    <xf numFmtId="0" fontId="0" fillId="8" borderId="48" xfId="0" applyFill="1" applyBorder="1"/>
    <xf numFmtId="167" fontId="0" fillId="8" borderId="48" xfId="0" applyNumberFormat="1" applyFill="1" applyBorder="1" applyAlignment="1">
      <alignment horizontal="center"/>
    </xf>
    <xf numFmtId="9" fontId="1" fillId="8" borderId="0" xfId="0" applyNumberFormat="1" applyFont="1" applyFill="1"/>
    <xf numFmtId="9" fontId="0" fillId="8" borderId="0" xfId="0" applyNumberFormat="1" applyFill="1"/>
    <xf numFmtId="0" fontId="0" fillId="8" borderId="48" xfId="0" applyFill="1" applyBorder="1" applyAlignment="1" applyProtection="1">
      <alignment horizontal="center"/>
    </xf>
    <xf numFmtId="0" fontId="0" fillId="8" borderId="49" xfId="0" applyFill="1" applyBorder="1" applyAlignment="1" applyProtection="1">
      <alignment horizontal="center"/>
    </xf>
    <xf numFmtId="2" fontId="0" fillId="2" borderId="0" xfId="0" applyNumberFormat="1" applyFill="1" applyBorder="1" applyAlignment="1">
      <alignment horizontal="center"/>
    </xf>
    <xf numFmtId="2" fontId="5" fillId="2" borderId="8" xfId="0" applyNumberFormat="1" applyFont="1" applyFill="1" applyBorder="1" applyAlignment="1">
      <alignment horizontal="center"/>
    </xf>
    <xf numFmtId="166" fontId="0" fillId="2" borderId="0" xfId="0" applyNumberFormat="1" applyFill="1" applyBorder="1" applyAlignment="1">
      <alignment horizontal="center"/>
    </xf>
    <xf numFmtId="44" fontId="0" fillId="2" borderId="0" xfId="1" applyFont="1" applyFill="1" applyBorder="1" applyAlignment="1">
      <alignment horizontal="center"/>
    </xf>
    <xf numFmtId="165" fontId="0" fillId="2" borderId="0" xfId="1" applyNumberFormat="1" applyFont="1" applyFill="1" applyBorder="1" applyAlignment="1">
      <alignment horizontal="center"/>
    </xf>
    <xf numFmtId="168" fontId="5" fillId="2" borderId="1" xfId="0" applyNumberFormat="1" applyFont="1" applyFill="1" applyBorder="1" applyAlignment="1">
      <alignment horizontal="center"/>
    </xf>
    <xf numFmtId="165" fontId="2" fillId="2" borderId="0" xfId="1" applyNumberFormat="1" applyFont="1" applyFill="1" applyBorder="1" applyAlignment="1">
      <alignment horizontal="center"/>
    </xf>
    <xf numFmtId="168" fontId="5" fillId="2" borderId="8" xfId="0" applyNumberFormat="1" applyFont="1" applyFill="1" applyBorder="1" applyAlignment="1">
      <alignment horizontal="center"/>
    </xf>
    <xf numFmtId="168" fontId="2" fillId="2" borderId="0" xfId="0" applyNumberFormat="1" applyFont="1" applyFill="1" applyBorder="1" applyAlignment="1">
      <alignment horizontal="center"/>
    </xf>
    <xf numFmtId="2" fontId="0" fillId="2" borderId="1" xfId="0" applyNumberFormat="1" applyFill="1" applyBorder="1" applyAlignment="1">
      <alignment horizontal="center"/>
    </xf>
    <xf numFmtId="165" fontId="0" fillId="2" borderId="1" xfId="1" applyNumberFormat="1" applyFont="1" applyFill="1" applyBorder="1" applyAlignment="1">
      <alignment horizontal="center"/>
    </xf>
    <xf numFmtId="2" fontId="5" fillId="2" borderId="0" xfId="0" applyNumberFormat="1" applyFont="1" applyFill="1" applyBorder="1" applyAlignment="1">
      <alignment horizontal="center"/>
    </xf>
    <xf numFmtId="0" fontId="2" fillId="2" borderId="0" xfId="0" applyFont="1" applyFill="1" applyBorder="1" applyAlignment="1">
      <alignment horizontal="center"/>
    </xf>
    <xf numFmtId="2" fontId="6" fillId="2" borderId="1" xfId="0" applyNumberFormat="1" applyFont="1" applyFill="1" applyBorder="1" applyAlignment="1">
      <alignment horizontal="center"/>
    </xf>
    <xf numFmtId="168" fontId="6" fillId="2" borderId="1" xfId="0" applyNumberFormat="1" applyFont="1" applyFill="1" applyBorder="1" applyAlignment="1">
      <alignment horizontal="center"/>
    </xf>
    <xf numFmtId="1" fontId="0" fillId="8" borderId="48" xfId="0" applyNumberFormat="1" applyFill="1" applyBorder="1" applyAlignment="1">
      <alignment horizontal="center"/>
    </xf>
    <xf numFmtId="1" fontId="0" fillId="8" borderId="49" xfId="0" applyNumberFormat="1" applyFill="1" applyBorder="1" applyAlignment="1">
      <alignment horizontal="center"/>
    </xf>
    <xf numFmtId="0" fontId="1" fillId="2" borderId="55" xfId="0" applyFont="1" applyFill="1" applyBorder="1" applyAlignment="1" applyProtection="1">
      <alignment horizontal="center"/>
    </xf>
    <xf numFmtId="0" fontId="1" fillId="2" borderId="56" xfId="0" applyFont="1" applyFill="1" applyBorder="1" applyAlignment="1" applyProtection="1">
      <alignment horizontal="center"/>
    </xf>
    <xf numFmtId="0" fontId="1" fillId="2" borderId="57" xfId="0" applyFont="1" applyFill="1" applyBorder="1" applyAlignment="1" applyProtection="1">
      <alignment horizontal="center"/>
    </xf>
    <xf numFmtId="10" fontId="69" fillId="3" borderId="9" xfId="0" applyNumberFormat="1" applyFont="1" applyFill="1" applyBorder="1" applyProtection="1"/>
    <xf numFmtId="10" fontId="70" fillId="3" borderId="9" xfId="0" applyNumberFormat="1" applyFont="1" applyFill="1" applyBorder="1" applyProtection="1"/>
    <xf numFmtId="0" fontId="69" fillId="7" borderId="12" xfId="0" applyFont="1" applyFill="1" applyBorder="1"/>
    <xf numFmtId="0" fontId="69" fillId="7" borderId="9" xfId="0" applyFont="1" applyFill="1" applyBorder="1"/>
    <xf numFmtId="2" fontId="1" fillId="2" borderId="54" xfId="0" applyNumberFormat="1" applyFont="1" applyFill="1" applyBorder="1" applyAlignment="1" applyProtection="1">
      <alignment horizontal="center"/>
    </xf>
    <xf numFmtId="1" fontId="69" fillId="7" borderId="13" xfId="0" applyNumberFormat="1" applyFont="1" applyFill="1" applyBorder="1" applyAlignment="1">
      <alignment horizontal="center"/>
    </xf>
    <xf numFmtId="1" fontId="71" fillId="7" borderId="16" xfId="0" applyNumberFormat="1" applyFont="1" applyFill="1" applyBorder="1" applyAlignment="1">
      <alignment horizontal="right"/>
    </xf>
    <xf numFmtId="1" fontId="71" fillId="7" borderId="9" xfId="0" applyNumberFormat="1" applyFont="1" applyFill="1" applyBorder="1" applyAlignment="1">
      <alignment horizontal="right"/>
    </xf>
    <xf numFmtId="0" fontId="12" fillId="7" borderId="16" xfId="0" applyFont="1" applyFill="1" applyBorder="1" applyAlignment="1"/>
    <xf numFmtId="0" fontId="12" fillId="7" borderId="17" xfId="0" applyFont="1" applyFill="1" applyBorder="1" applyAlignment="1"/>
    <xf numFmtId="0" fontId="12" fillId="7" borderId="12" xfId="0" applyFont="1" applyFill="1" applyBorder="1" applyAlignment="1"/>
    <xf numFmtId="168" fontId="12" fillId="7" borderId="16" xfId="0" applyNumberFormat="1" applyFont="1" applyFill="1" applyBorder="1" applyAlignment="1"/>
    <xf numFmtId="168" fontId="12" fillId="7" borderId="17" xfId="0" applyNumberFormat="1" applyFont="1" applyFill="1" applyBorder="1" applyAlignment="1"/>
    <xf numFmtId="168" fontId="12" fillId="7" borderId="12" xfId="0" applyNumberFormat="1" applyFont="1" applyFill="1" applyBorder="1" applyAlignment="1"/>
    <xf numFmtId="9" fontId="1" fillId="0" borderId="9" xfId="0" applyNumberFormat="1" applyFont="1" applyBorder="1" applyAlignment="1">
      <alignment horizontal="center"/>
    </xf>
    <xf numFmtId="9" fontId="1" fillId="8" borderId="49" xfId="0" applyNumberFormat="1" applyFont="1" applyFill="1" applyBorder="1" applyAlignment="1">
      <alignment horizontal="center"/>
    </xf>
    <xf numFmtId="9" fontId="1" fillId="8" borderId="48" xfId="0" applyNumberFormat="1" applyFont="1" applyFill="1" applyBorder="1" applyAlignment="1" applyProtection="1">
      <alignment horizontal="center"/>
    </xf>
    <xf numFmtId="0" fontId="1" fillId="8" borderId="48" xfId="0" applyFont="1" applyFill="1" applyBorder="1" applyAlignment="1">
      <alignment horizontal="left"/>
    </xf>
    <xf numFmtId="9" fontId="1" fillId="8" borderId="48" xfId="0" applyNumberFormat="1" applyFont="1" applyFill="1" applyBorder="1" applyAlignment="1">
      <alignment horizontal="center"/>
    </xf>
    <xf numFmtId="9" fontId="12" fillId="7" borderId="16" xfId="0" applyNumberFormat="1" applyFont="1" applyFill="1" applyBorder="1" applyAlignment="1"/>
    <xf numFmtId="9" fontId="12" fillId="7" borderId="17" xfId="0" applyNumberFormat="1" applyFont="1" applyFill="1" applyBorder="1" applyAlignment="1"/>
    <xf numFmtId="9" fontId="12" fillId="7" borderId="12" xfId="0" applyNumberFormat="1" applyFont="1" applyFill="1" applyBorder="1" applyAlignment="1"/>
    <xf numFmtId="0" fontId="1" fillId="8" borderId="0" xfId="0" applyFont="1" applyFill="1" applyBorder="1" applyAlignment="1" applyProtection="1"/>
    <xf numFmtId="2" fontId="1" fillId="8" borderId="0" xfId="0" applyNumberFormat="1" applyFont="1" applyFill="1" applyBorder="1" applyAlignment="1" applyProtection="1">
      <alignment horizontal="center"/>
    </xf>
    <xf numFmtId="2" fontId="0" fillId="8" borderId="48" xfId="0" applyNumberFormat="1" applyFill="1" applyBorder="1" applyAlignment="1" applyProtection="1">
      <alignment horizontal="center"/>
    </xf>
    <xf numFmtId="2" fontId="0" fillId="8" borderId="49" xfId="0" applyNumberFormat="1" applyFill="1" applyBorder="1" applyAlignment="1" applyProtection="1">
      <alignment horizontal="center"/>
    </xf>
    <xf numFmtId="0" fontId="42" fillId="8" borderId="60" xfId="0" applyFont="1" applyFill="1" applyBorder="1" applyAlignment="1">
      <alignment horizontal="left"/>
    </xf>
    <xf numFmtId="0" fontId="42" fillId="8" borderId="61" xfId="0" applyFont="1" applyFill="1" applyBorder="1" applyAlignment="1">
      <alignment horizontal="left"/>
    </xf>
    <xf numFmtId="0" fontId="42" fillId="8" borderId="62" xfId="0" applyFont="1" applyFill="1" applyBorder="1" applyAlignment="1">
      <alignment horizontal="left"/>
    </xf>
    <xf numFmtId="1" fontId="0" fillId="8" borderId="48" xfId="0" applyNumberFormat="1" applyFill="1" applyBorder="1" applyAlignment="1">
      <alignment horizontal="center"/>
    </xf>
    <xf numFmtId="1" fontId="0" fillId="8" borderId="49" xfId="0" applyNumberFormat="1" applyFill="1" applyBorder="1" applyAlignment="1">
      <alignment horizontal="center"/>
    </xf>
    <xf numFmtId="49" fontId="22" fillId="2" borderId="4" xfId="0" applyNumberFormat="1" applyFont="1" applyFill="1" applyBorder="1" applyProtection="1">
      <protection locked="0"/>
    </xf>
    <xf numFmtId="166" fontId="0" fillId="2" borderId="4" xfId="0" applyNumberFormat="1" applyFill="1" applyBorder="1" applyAlignment="1" applyProtection="1">
      <alignment horizontal="center"/>
      <protection locked="0"/>
    </xf>
    <xf numFmtId="0" fontId="0" fillId="8" borderId="48" xfId="0" applyFill="1" applyBorder="1" applyAlignment="1" applyProtection="1">
      <alignment horizontal="left"/>
    </xf>
    <xf numFmtId="0" fontId="0" fillId="8" borderId="49" xfId="0" applyFill="1" applyBorder="1" applyAlignment="1" applyProtection="1">
      <alignment horizontal="left"/>
    </xf>
    <xf numFmtId="0" fontId="55" fillId="8" borderId="0" xfId="0" applyFont="1" applyFill="1" applyAlignment="1" applyProtection="1">
      <alignment wrapText="1"/>
      <protection locked="0"/>
    </xf>
    <xf numFmtId="0" fontId="1" fillId="8" borderId="54" xfId="0" applyFont="1" applyFill="1" applyBorder="1" applyProtection="1"/>
    <xf numFmtId="0" fontId="1" fillId="8" borderId="54" xfId="0" applyFont="1" applyFill="1" applyBorder="1" applyAlignment="1" applyProtection="1">
      <alignment horizontal="left"/>
    </xf>
    <xf numFmtId="0" fontId="5" fillId="8" borderId="56" xfId="0" applyFont="1" applyFill="1" applyBorder="1" applyAlignment="1" applyProtection="1">
      <alignment horizontal="center"/>
    </xf>
    <xf numFmtId="0" fontId="5" fillId="8" borderId="57" xfId="0" applyFont="1" applyFill="1" applyBorder="1" applyAlignment="1" applyProtection="1">
      <alignment horizontal="center"/>
    </xf>
    <xf numFmtId="2" fontId="58" fillId="5" borderId="39" xfId="0" applyNumberFormat="1" applyFont="1" applyFill="1" applyBorder="1" applyAlignment="1">
      <alignment horizontal="center"/>
    </xf>
    <xf numFmtId="0" fontId="5" fillId="2" borderId="0" xfId="0" applyFont="1" applyFill="1" applyAlignment="1">
      <alignment horizontal="left" vertical="top" wrapText="1"/>
    </xf>
    <xf numFmtId="0" fontId="1" fillId="2" borderId="0" xfId="0" applyFont="1" applyFill="1" applyAlignment="1">
      <alignment horizontal="left" vertical="top" wrapText="1"/>
    </xf>
    <xf numFmtId="0" fontId="24" fillId="6" borderId="1" xfId="0" applyFont="1" applyFill="1" applyBorder="1" applyAlignment="1">
      <alignment horizontal="left" vertical="top"/>
    </xf>
    <xf numFmtId="0" fontId="5" fillId="2" borderId="0" xfId="0" applyNumberFormat="1" applyFont="1" applyFill="1" applyAlignment="1">
      <alignment horizontal="left" vertical="top" wrapText="1"/>
    </xf>
    <xf numFmtId="0" fontId="2" fillId="2" borderId="0" xfId="0" applyFont="1" applyFill="1" applyAlignment="1">
      <alignment horizontal="left" vertical="top" wrapText="1"/>
    </xf>
    <xf numFmtId="2" fontId="2" fillId="0" borderId="0" xfId="0" applyNumberFormat="1" applyFont="1" applyBorder="1" applyAlignment="1">
      <alignment horizontal="center"/>
    </xf>
    <xf numFmtId="0" fontId="59" fillId="5" borderId="43" xfId="0" applyFont="1" applyFill="1" applyBorder="1" applyAlignment="1">
      <alignment horizontal="right"/>
    </xf>
    <xf numFmtId="0" fontId="59" fillId="5" borderId="41" xfId="0" applyFont="1" applyFill="1" applyBorder="1" applyAlignment="1">
      <alignment horizontal="right"/>
    </xf>
    <xf numFmtId="0" fontId="59" fillId="5" borderId="42" xfId="0" applyFont="1" applyFill="1" applyBorder="1" applyAlignment="1">
      <alignment horizontal="right"/>
    </xf>
    <xf numFmtId="2" fontId="58" fillId="5" borderId="63" xfId="0" applyNumberFormat="1" applyFont="1" applyFill="1" applyBorder="1" applyAlignment="1">
      <alignment horizontal="center"/>
    </xf>
    <xf numFmtId="2" fontId="58" fillId="5" borderId="39" xfId="0" applyNumberFormat="1" applyFont="1" applyFill="1" applyBorder="1" applyAlignment="1">
      <alignment horizontal="center"/>
    </xf>
    <xf numFmtId="0" fontId="58" fillId="5" borderId="63" xfId="0" applyFont="1" applyFill="1" applyBorder="1" applyAlignment="1">
      <alignment horizontal="center"/>
    </xf>
    <xf numFmtId="0" fontId="58" fillId="5" borderId="39" xfId="0" applyFont="1" applyFill="1" applyBorder="1" applyAlignment="1">
      <alignment horizontal="center"/>
    </xf>
    <xf numFmtId="0" fontId="1" fillId="0" borderId="15" xfId="0" applyFont="1" applyBorder="1" applyAlignment="1" applyProtection="1">
      <alignment horizontal="center" wrapText="1"/>
    </xf>
    <xf numFmtId="0" fontId="0" fillId="0" borderId="11" xfId="0" applyBorder="1" applyAlignment="1" applyProtection="1">
      <alignment horizontal="center" wrapText="1"/>
    </xf>
    <xf numFmtId="0" fontId="58" fillId="0" borderId="0" xfId="0" applyFont="1" applyAlignment="1" applyProtection="1">
      <alignment horizontal="center" wrapText="1"/>
      <protection locked="0"/>
    </xf>
    <xf numFmtId="0" fontId="6" fillId="6" borderId="43" xfId="0" applyFont="1" applyFill="1" applyBorder="1" applyAlignment="1">
      <alignment horizontal="right" vertical="center" wrapText="1"/>
    </xf>
    <xf numFmtId="0" fontId="6" fillId="6" borderId="42" xfId="0" applyFont="1" applyFill="1" applyBorder="1" applyAlignment="1">
      <alignment horizontal="right" vertical="center" wrapText="1"/>
    </xf>
    <xf numFmtId="0" fontId="2" fillId="0" borderId="15" xfId="0" applyFont="1" applyFill="1" applyBorder="1" applyAlignment="1">
      <alignment horizontal="center"/>
    </xf>
    <xf numFmtId="0" fontId="2" fillId="0" borderId="11" xfId="0" applyFont="1" applyFill="1" applyBorder="1" applyAlignment="1">
      <alignment horizontal="center"/>
    </xf>
    <xf numFmtId="0" fontId="58" fillId="5" borderId="43" xfId="0" applyFont="1" applyFill="1" applyBorder="1" applyAlignment="1">
      <alignment horizontal="right"/>
    </xf>
    <xf numFmtId="0" fontId="58" fillId="5" borderId="41" xfId="0" applyFont="1" applyFill="1" applyBorder="1" applyAlignment="1">
      <alignment horizontal="right"/>
    </xf>
    <xf numFmtId="0" fontId="58" fillId="5" borderId="42" xfId="0" applyFont="1" applyFill="1" applyBorder="1" applyAlignment="1">
      <alignment horizontal="right"/>
    </xf>
    <xf numFmtId="0" fontId="2" fillId="0" borderId="45" xfId="0" applyFont="1" applyBorder="1" applyAlignment="1">
      <alignment horizontal="center" wrapText="1"/>
    </xf>
    <xf numFmtId="0" fontId="2" fillId="0" borderId="11" xfId="0" applyFont="1" applyBorder="1" applyAlignment="1">
      <alignment horizontal="center" wrapText="1"/>
    </xf>
    <xf numFmtId="0" fontId="0" fillId="0" borderId="45" xfId="0" applyBorder="1" applyAlignment="1">
      <alignment horizontal="center" wrapText="1"/>
    </xf>
    <xf numFmtId="0" fontId="0" fillId="0" borderId="11" xfId="0" applyBorder="1" applyAlignment="1">
      <alignment horizontal="center" wrapText="1"/>
    </xf>
    <xf numFmtId="0" fontId="58" fillId="5" borderId="64" xfId="0" applyFont="1" applyFill="1" applyBorder="1" applyAlignment="1">
      <alignment horizontal="center" wrapText="1"/>
    </xf>
    <xf numFmtId="0" fontId="58" fillId="5" borderId="65" xfId="0" applyFont="1" applyFill="1" applyBorder="1" applyAlignment="1">
      <alignment horizontal="center" wrapText="1"/>
    </xf>
    <xf numFmtId="0" fontId="1" fillId="0" borderId="45"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72" fillId="10" borderId="18" xfId="0" applyFont="1" applyFill="1" applyBorder="1" applyAlignment="1">
      <alignment horizontal="center" vertical="center"/>
    </xf>
    <xf numFmtId="0" fontId="72" fillId="10" borderId="4" xfId="0" applyFont="1" applyFill="1" applyBorder="1" applyAlignment="1">
      <alignment horizontal="center" vertical="center"/>
    </xf>
    <xf numFmtId="0" fontId="72" fillId="10" borderId="19" xfId="0" applyFont="1" applyFill="1" applyBorder="1" applyAlignment="1">
      <alignment horizontal="center" vertical="center"/>
    </xf>
    <xf numFmtId="2" fontId="72" fillId="0" borderId="0" xfId="0" applyNumberFormat="1" applyFont="1" applyBorder="1" applyAlignment="1">
      <alignment horizontal="center"/>
    </xf>
    <xf numFmtId="0" fontId="5" fillId="2" borderId="17" xfId="0" applyFont="1" applyFill="1" applyBorder="1" applyAlignment="1" applyProtection="1">
      <alignment horizontal="center"/>
      <protection locked="0"/>
    </xf>
    <xf numFmtId="0" fontId="0" fillId="2" borderId="25" xfId="0" applyFill="1" applyBorder="1" applyAlignment="1">
      <alignment horizontal="center"/>
    </xf>
    <xf numFmtId="0" fontId="0" fillId="2" borderId="26" xfId="0" applyFill="1" applyBorder="1" applyAlignment="1">
      <alignment horizontal="center"/>
    </xf>
    <xf numFmtId="0" fontId="24" fillId="2" borderId="0" xfId="0" applyFont="1" applyFill="1" applyBorder="1" applyAlignment="1">
      <alignment horizont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5" fillId="2" borderId="4" xfId="0" applyFont="1" applyFill="1" applyBorder="1" applyAlignment="1" applyProtection="1">
      <alignment horizontal="center" vertical="center"/>
      <protection locked="0"/>
    </xf>
    <xf numFmtId="0" fontId="0" fillId="2" borderId="0" xfId="0" applyFill="1" applyBorder="1" applyAlignment="1">
      <alignment horizontal="center"/>
    </xf>
    <xf numFmtId="169" fontId="0" fillId="2" borderId="0" xfId="0" applyNumberFormat="1" applyFill="1" applyBorder="1" applyAlignment="1">
      <alignment horizontal="center"/>
    </xf>
    <xf numFmtId="0" fontId="15" fillId="2" borderId="0" xfId="0" applyFont="1" applyFill="1" applyBorder="1" applyAlignment="1">
      <alignment horizontal="center"/>
    </xf>
    <xf numFmtId="0" fontId="22" fillId="2" borderId="0" xfId="0" applyFont="1" applyFill="1" applyBorder="1" applyAlignment="1">
      <alignment horizontal="center"/>
    </xf>
    <xf numFmtId="0" fontId="22" fillId="2" borderId="0" xfId="0" applyFont="1" applyFill="1" applyAlignment="1">
      <alignment horizont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0" fillId="2" borderId="10" xfId="0" applyFill="1" applyBorder="1" applyAlignment="1">
      <alignment horizontal="center"/>
    </xf>
    <xf numFmtId="0" fontId="0" fillId="2" borderId="24" xfId="0" applyFill="1" applyBorder="1" applyAlignment="1">
      <alignment horizontal="center"/>
    </xf>
    <xf numFmtId="0" fontId="16" fillId="2" borderId="4" xfId="0" applyFont="1" applyFill="1" applyBorder="1" applyAlignment="1" applyProtection="1">
      <alignment horizontal="left"/>
      <protection locked="0"/>
    </xf>
    <xf numFmtId="0" fontId="18" fillId="2" borderId="4" xfId="0" applyFont="1" applyFill="1" applyBorder="1" applyAlignment="1">
      <alignment horizontal="center"/>
    </xf>
    <xf numFmtId="0" fontId="16" fillId="2" borderId="1" xfId="0" applyFont="1" applyFill="1" applyBorder="1" applyAlignment="1" applyProtection="1">
      <alignment horizontal="left"/>
      <protection locked="0"/>
    </xf>
    <xf numFmtId="0" fontId="2" fillId="2" borderId="31" xfId="0" applyFont="1" applyFill="1" applyBorder="1" applyAlignment="1">
      <alignment horizontal="center" vertical="center"/>
    </xf>
    <xf numFmtId="0" fontId="22" fillId="2" borderId="0" xfId="0" applyFont="1" applyFill="1" applyAlignment="1">
      <alignment horizontal="center" vertical="center"/>
    </xf>
    <xf numFmtId="0" fontId="5" fillId="2" borderId="4" xfId="0" applyFont="1" applyFill="1" applyBorder="1" applyAlignment="1">
      <alignment horizontal="center"/>
    </xf>
    <xf numFmtId="0" fontId="22" fillId="2" borderId="0" xfId="0" applyFont="1" applyFill="1" applyBorder="1" applyAlignment="1">
      <alignment horizontal="center" vertical="center"/>
    </xf>
    <xf numFmtId="0" fontId="2" fillId="2" borderId="32" xfId="0" applyFont="1" applyFill="1" applyBorder="1" applyAlignment="1" applyProtection="1">
      <alignment horizontal="center" vertical="center"/>
      <protection locked="0"/>
    </xf>
    <xf numFmtId="0" fontId="2" fillId="2" borderId="33" xfId="0" applyFont="1" applyFill="1" applyBorder="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0" fontId="2" fillId="2" borderId="35" xfId="0" applyFont="1" applyFill="1" applyBorder="1" applyAlignment="1" applyProtection="1">
      <alignment horizontal="center" vertical="center"/>
      <protection locked="0"/>
    </xf>
    <xf numFmtId="0" fontId="2" fillId="2" borderId="36"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0" fontId="0" fillId="0" borderId="9" xfId="0" applyBorder="1" applyAlignment="1" applyProtection="1">
      <alignment horizontal="center"/>
    </xf>
    <xf numFmtId="0" fontId="2" fillId="0" borderId="16" xfId="0" applyFont="1" applyBorder="1" applyAlignment="1" applyProtection="1">
      <alignment horizontal="center"/>
    </xf>
    <xf numFmtId="0" fontId="2" fillId="0" borderId="17" xfId="0" applyFont="1" applyBorder="1" applyAlignment="1" applyProtection="1">
      <alignment horizontal="center"/>
    </xf>
    <xf numFmtId="0" fontId="0" fillId="0" borderId="9" xfId="0" applyFill="1" applyBorder="1" applyAlignment="1" applyProtection="1">
      <alignment horizontal="center"/>
    </xf>
    <xf numFmtId="0" fontId="2" fillId="0" borderId="16" xfId="0" applyFont="1" applyFill="1" applyBorder="1" applyAlignment="1" applyProtection="1">
      <alignment horizontal="center"/>
    </xf>
    <xf numFmtId="0" fontId="0" fillId="0" borderId="17" xfId="0" applyFill="1" applyBorder="1" applyAlignment="1" applyProtection="1">
      <alignment horizontal="center"/>
    </xf>
    <xf numFmtId="0" fontId="0" fillId="0" borderId="12" xfId="0" applyFill="1" applyBorder="1" applyAlignment="1" applyProtection="1">
      <alignment horizontal="center"/>
    </xf>
    <xf numFmtId="0" fontId="0" fillId="0" borderId="17" xfId="0" applyBorder="1" applyAlignment="1" applyProtection="1">
      <alignment horizontal="center"/>
    </xf>
    <xf numFmtId="0" fontId="0" fillId="0" borderId="12" xfId="0" applyBorder="1" applyAlignment="1" applyProtection="1">
      <alignment horizontal="center"/>
    </xf>
    <xf numFmtId="0" fontId="6" fillId="0" borderId="0" xfId="0" applyFont="1" applyBorder="1" applyAlignment="1">
      <alignment horizontal="center"/>
    </xf>
    <xf numFmtId="0" fontId="5" fillId="6" borderId="0" xfId="0" applyFont="1" applyFill="1" applyBorder="1" applyAlignment="1">
      <alignment horizontal="center"/>
    </xf>
    <xf numFmtId="0" fontId="50" fillId="8" borderId="48" xfId="0" applyFont="1" applyFill="1" applyBorder="1" applyAlignment="1" applyProtection="1">
      <alignment horizontal="center" vertical="top"/>
    </xf>
    <xf numFmtId="0" fontId="5" fillId="8" borderId="66" xfId="0" applyFont="1" applyFill="1" applyBorder="1" applyAlignment="1" applyProtection="1">
      <alignment horizontal="center"/>
    </xf>
    <xf numFmtId="0" fontId="5" fillId="8" borderId="67" xfId="0" applyFont="1" applyFill="1" applyBorder="1" applyAlignment="1" applyProtection="1">
      <alignment horizontal="center"/>
    </xf>
    <xf numFmtId="0" fontId="5" fillId="8" borderId="68" xfId="0" applyFont="1" applyFill="1" applyBorder="1" applyAlignment="1" applyProtection="1">
      <alignment horizontal="center"/>
    </xf>
    <xf numFmtId="0" fontId="73" fillId="9" borderId="48" xfId="0" applyFont="1" applyFill="1" applyBorder="1" applyAlignment="1">
      <alignment horizontal="center" vertical="center" wrapText="1"/>
    </xf>
    <xf numFmtId="0" fontId="5" fillId="8" borderId="53" xfId="0" applyFont="1" applyFill="1" applyBorder="1" applyAlignment="1" applyProtection="1">
      <alignment horizontal="center"/>
    </xf>
    <xf numFmtId="0" fontId="50" fillId="8" borderId="58" xfId="0" applyFont="1" applyFill="1" applyBorder="1" applyAlignment="1" applyProtection="1">
      <alignment horizontal="center" vertical="top"/>
    </xf>
    <xf numFmtId="0" fontId="50" fillId="8" borderId="49" xfId="0" applyFont="1" applyFill="1" applyBorder="1" applyAlignment="1" applyProtection="1">
      <alignment horizontal="center" vertical="top"/>
    </xf>
    <xf numFmtId="0" fontId="1" fillId="8" borderId="48" xfId="0" applyFont="1" applyFill="1" applyBorder="1" applyAlignment="1">
      <alignment horizontal="center" wrapText="1"/>
    </xf>
    <xf numFmtId="0" fontId="1" fillId="8" borderId="48" xfId="0" applyFont="1" applyFill="1" applyBorder="1" applyAlignment="1">
      <alignment horizontal="center" vertical="center" wrapText="1"/>
    </xf>
    <xf numFmtId="0" fontId="5" fillId="8" borderId="48" xfId="0" applyFont="1" applyFill="1" applyBorder="1" applyAlignment="1">
      <alignment horizontal="center" wrapText="1"/>
    </xf>
    <xf numFmtId="0" fontId="5" fillId="8" borderId="53" xfId="0" applyFont="1" applyFill="1" applyBorder="1" applyAlignment="1">
      <alignment horizontal="center" wrapText="1"/>
    </xf>
    <xf numFmtId="0" fontId="5" fillId="8" borderId="66" xfId="0" applyFont="1" applyFill="1" applyBorder="1" applyAlignment="1">
      <alignment horizontal="center" wrapText="1"/>
    </xf>
    <xf numFmtId="0" fontId="5" fillId="8" borderId="67" xfId="0" applyFont="1" applyFill="1" applyBorder="1" applyAlignment="1">
      <alignment horizontal="center" wrapText="1"/>
    </xf>
    <xf numFmtId="0" fontId="5" fillId="8" borderId="68" xfId="0" applyFont="1" applyFill="1" applyBorder="1" applyAlignment="1">
      <alignment horizontal="center" wrapText="1"/>
    </xf>
    <xf numFmtId="0" fontId="6" fillId="9" borderId="0" xfId="0" applyFont="1" applyFill="1" applyBorder="1" applyAlignment="1">
      <alignment horizontal="center" vertical="center" wrapText="1"/>
    </xf>
    <xf numFmtId="0" fontId="6" fillId="9" borderId="50" xfId="0" applyFont="1" applyFill="1" applyBorder="1" applyAlignment="1">
      <alignment horizontal="center" vertical="center" wrapText="1"/>
    </xf>
    <xf numFmtId="0" fontId="6" fillId="9" borderId="69" xfId="0" applyFont="1" applyFill="1" applyBorder="1" applyAlignment="1">
      <alignment horizontal="center" vertical="center" wrapText="1"/>
    </xf>
    <xf numFmtId="0" fontId="6" fillId="9" borderId="47" xfId="0" applyFont="1" applyFill="1" applyBorder="1" applyAlignment="1">
      <alignment horizontal="center" vertical="center" wrapText="1"/>
    </xf>
    <xf numFmtId="0" fontId="50" fillId="8" borderId="48" xfId="0" applyFont="1" applyFill="1" applyBorder="1" applyAlignment="1" applyProtection="1">
      <alignment horizontal="center"/>
    </xf>
    <xf numFmtId="1" fontId="0" fillId="8" borderId="48" xfId="0" applyNumberFormat="1" applyFill="1" applyBorder="1" applyAlignment="1">
      <alignment horizontal="center"/>
    </xf>
    <xf numFmtId="0" fontId="5" fillId="9" borderId="70" xfId="0" applyFont="1" applyFill="1" applyBorder="1" applyAlignment="1" applyProtection="1">
      <alignment horizontal="left"/>
    </xf>
    <xf numFmtId="0" fontId="5" fillId="9" borderId="71" xfId="0" applyFont="1" applyFill="1" applyBorder="1" applyAlignment="1" applyProtection="1">
      <alignment horizontal="left"/>
    </xf>
    <xf numFmtId="1" fontId="0" fillId="8" borderId="58" xfId="0" applyNumberFormat="1" applyFill="1" applyBorder="1" applyAlignment="1">
      <alignment horizontal="center"/>
    </xf>
    <xf numFmtId="0" fontId="1" fillId="8" borderId="72" xfId="0" applyFont="1" applyFill="1" applyBorder="1" applyAlignment="1">
      <alignment horizontal="left"/>
    </xf>
    <xf numFmtId="0" fontId="1" fillId="8" borderId="73" xfId="0" applyFont="1" applyFill="1" applyBorder="1" applyAlignment="1">
      <alignment horizontal="left"/>
    </xf>
    <xf numFmtId="0" fontId="1" fillId="8" borderId="74" xfId="0" applyFont="1" applyFill="1" applyBorder="1" applyAlignment="1">
      <alignment horizontal="left"/>
    </xf>
    <xf numFmtId="0" fontId="6" fillId="9" borderId="72" xfId="0" applyFont="1" applyFill="1" applyBorder="1" applyAlignment="1">
      <alignment horizontal="center" vertical="center" wrapText="1"/>
    </xf>
    <xf numFmtId="0" fontId="6" fillId="9" borderId="73" xfId="0" applyFont="1" applyFill="1" applyBorder="1" applyAlignment="1">
      <alignment horizontal="center" vertical="center" wrapText="1"/>
    </xf>
    <xf numFmtId="0" fontId="6" fillId="9" borderId="74" xfId="0" applyFont="1" applyFill="1" applyBorder="1" applyAlignment="1">
      <alignment horizontal="center" vertical="center" wrapText="1"/>
    </xf>
    <xf numFmtId="0" fontId="50" fillId="8" borderId="51" xfId="0" applyFont="1" applyFill="1" applyBorder="1" applyAlignment="1" applyProtection="1">
      <alignment horizontal="center"/>
    </xf>
    <xf numFmtId="0" fontId="50" fillId="8" borderId="0" xfId="0" applyFont="1" applyFill="1" applyBorder="1" applyAlignment="1" applyProtection="1">
      <alignment horizontal="center"/>
    </xf>
    <xf numFmtId="0" fontId="50" fillId="8" borderId="50" xfId="0" applyFont="1" applyFill="1" applyBorder="1" applyAlignment="1" applyProtection="1">
      <alignment horizontal="center"/>
    </xf>
    <xf numFmtId="0" fontId="5" fillId="8" borderId="75" xfId="0" applyFont="1" applyFill="1" applyBorder="1" applyAlignment="1" applyProtection="1">
      <alignment horizontal="center"/>
    </xf>
    <xf numFmtId="0" fontId="5" fillId="8" borderId="76" xfId="0" applyFont="1" applyFill="1" applyBorder="1" applyAlignment="1">
      <alignment horizontal="center" wrapText="1"/>
    </xf>
    <xf numFmtId="0" fontId="5" fillId="8" borderId="77" xfId="0" applyFont="1" applyFill="1" applyBorder="1" applyAlignment="1">
      <alignment horizontal="center" wrapText="1"/>
    </xf>
    <xf numFmtId="0" fontId="5" fillId="8" borderId="78" xfId="0" applyFont="1" applyFill="1" applyBorder="1" applyAlignment="1">
      <alignment horizontal="center" wrapText="1"/>
    </xf>
    <xf numFmtId="0" fontId="5" fillId="8" borderId="79" xfId="0" applyFont="1" applyFill="1" applyBorder="1" applyAlignment="1">
      <alignment horizontal="center" wrapText="1"/>
    </xf>
    <xf numFmtId="0" fontId="5" fillId="8" borderId="80" xfId="0" applyFont="1" applyFill="1" applyBorder="1" applyAlignment="1">
      <alignment horizontal="center" wrapText="1"/>
    </xf>
    <xf numFmtId="0" fontId="5" fillId="8" borderId="81" xfId="0" applyFont="1" applyFill="1" applyBorder="1" applyAlignment="1">
      <alignment horizontal="center" wrapText="1"/>
    </xf>
    <xf numFmtId="0" fontId="5" fillId="9" borderId="76" xfId="0" applyFont="1" applyFill="1" applyBorder="1" applyAlignment="1" applyProtection="1">
      <alignment horizontal="right"/>
    </xf>
    <xf numFmtId="0" fontId="5" fillId="9" borderId="77" xfId="0" applyFont="1" applyFill="1" applyBorder="1" applyAlignment="1" applyProtection="1">
      <alignment horizontal="right"/>
    </xf>
    <xf numFmtId="1" fontId="0" fillId="8" borderId="49" xfId="0" applyNumberFormat="1" applyFill="1" applyBorder="1" applyAlignment="1">
      <alignment horizontal="center"/>
    </xf>
    <xf numFmtId="2" fontId="1" fillId="8" borderId="0" xfId="0" applyNumberFormat="1" applyFont="1" applyFill="1" applyBorder="1" applyAlignment="1" applyProtection="1">
      <alignment horizontal="center"/>
    </xf>
  </cellXfs>
  <cellStyles count="8">
    <cellStyle name="Currency" xfId="1" builtinId="4"/>
    <cellStyle name="Hyperlink" xfId="2" builtinId="8"/>
    <cellStyle name="Normal" xfId="0" builtinId="0"/>
    <cellStyle name="Normal_crp_20_v4" xfId="3"/>
    <cellStyle name="Normal_Forb" xfId="4"/>
    <cellStyle name="Normal_Graminoid" xfId="5"/>
    <cellStyle name="Normal_Sheet2" xfId="6"/>
    <cellStyle name="Normal_Tree,Shrub,Vine" xfId="7"/>
  </cellStyles>
  <dxfs count="35">
    <dxf>
      <font>
        <color rgb="FFC00000"/>
      </font>
    </dxf>
    <dxf>
      <font>
        <color rgb="FF00B050"/>
      </font>
    </dxf>
    <dxf>
      <font>
        <condense val="0"/>
        <extend val="0"/>
        <color indexed="63"/>
      </font>
    </dxf>
    <dxf>
      <font>
        <condense val="0"/>
        <extend val="0"/>
        <color indexed="63"/>
      </font>
    </dxf>
    <dxf>
      <font>
        <color rgb="FFC00000"/>
      </font>
    </dxf>
    <dxf>
      <font>
        <color rgb="FF00B050"/>
      </font>
    </dxf>
    <dxf>
      <font>
        <color rgb="FF00B050"/>
      </font>
    </dxf>
    <dxf>
      <font>
        <color rgb="FFC00000"/>
      </font>
    </dxf>
    <dxf>
      <font>
        <color rgb="FF00B050"/>
      </font>
    </dxf>
    <dxf>
      <font>
        <color rgb="FFC00000"/>
      </font>
    </dxf>
    <dxf>
      <font>
        <color theme="0" tint="-0.499984740745262"/>
      </font>
    </dxf>
    <dxf>
      <font>
        <color theme="0" tint="-0.499984740745262"/>
      </font>
    </dxf>
    <dxf>
      <font>
        <color rgb="FF00B050"/>
      </font>
    </dxf>
    <dxf>
      <font>
        <color rgb="FFC00000"/>
      </font>
    </dxf>
    <dxf>
      <numFmt numFmtId="2" formatCode="0.00"/>
    </dxf>
    <dxf>
      <numFmt numFmtId="166" formatCode="0.000"/>
    </dxf>
    <dxf>
      <numFmt numFmtId="172" formatCode="0.0000"/>
    </dxf>
    <dxf>
      <numFmt numFmtId="173" formatCode="0.00000"/>
    </dxf>
    <dxf>
      <numFmt numFmtId="174" formatCode="0.000000"/>
    </dxf>
    <dxf>
      <numFmt numFmtId="175" formatCode="0.0000000"/>
    </dxf>
    <dxf>
      <numFmt numFmtId="2" formatCode="0.00"/>
    </dxf>
    <dxf>
      <numFmt numFmtId="165" formatCode="&quot;$&quot;#,##0.00"/>
    </dxf>
    <dxf>
      <numFmt numFmtId="175" formatCode="0.0000000"/>
    </dxf>
    <dxf>
      <numFmt numFmtId="174" formatCode="0.000000"/>
    </dxf>
    <dxf>
      <numFmt numFmtId="173" formatCode="0.00000"/>
    </dxf>
    <dxf>
      <numFmt numFmtId="172" formatCode="0.0000"/>
    </dxf>
    <dxf>
      <numFmt numFmtId="166" formatCode="0.000"/>
    </dxf>
    <dxf>
      <numFmt numFmtId="2" formatCode="0.00"/>
    </dxf>
    <dxf>
      <numFmt numFmtId="167" formatCode="0.0"/>
    </dxf>
    <dxf>
      <numFmt numFmtId="2" formatCode="0.00"/>
    </dxf>
    <dxf>
      <numFmt numFmtId="165" formatCode="&quot;$&quot;#,##0.00"/>
    </dxf>
    <dxf>
      <numFmt numFmtId="176" formatCode="0.00000000"/>
    </dxf>
    <dxf>
      <numFmt numFmtId="2" formatCode="0.00"/>
    </dxf>
    <dxf>
      <numFmt numFmtId="166" formatCode="0.000"/>
    </dxf>
    <dxf>
      <fill>
        <patternFill>
          <bgColor theme="5" tint="0.5999633777886288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8</xdr:col>
      <xdr:colOff>114300</xdr:colOff>
      <xdr:row>0</xdr:row>
      <xdr:rowOff>304800</xdr:rowOff>
    </xdr:from>
    <xdr:to>
      <xdr:col>12</xdr:col>
      <xdr:colOff>1666875</xdr:colOff>
      <xdr:row>9</xdr:row>
      <xdr:rowOff>180975</xdr:rowOff>
    </xdr:to>
    <xdr:pic>
      <xdr:nvPicPr>
        <xdr:cNvPr id="1231" name="Picture 1" descr="signature_color.gif"/>
        <xdr:cNvPicPr>
          <a:picLocks noChangeAspect="1"/>
        </xdr:cNvPicPr>
      </xdr:nvPicPr>
      <xdr:blipFill>
        <a:blip xmlns:r="http://schemas.openxmlformats.org/officeDocument/2006/relationships" r:embed="rId1" cstate="print"/>
        <a:srcRect/>
        <a:stretch>
          <a:fillRect/>
        </a:stretch>
      </xdr:blipFill>
      <xdr:spPr bwMode="auto">
        <a:xfrm>
          <a:off x="8763000" y="304800"/>
          <a:ext cx="4829175" cy="1495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28575</xdr:rowOff>
    </xdr:from>
    <xdr:to>
      <xdr:col>1</xdr:col>
      <xdr:colOff>66675</xdr:colOff>
      <xdr:row>1</xdr:row>
      <xdr:rowOff>190500</xdr:rowOff>
    </xdr:to>
    <xdr:pic>
      <xdr:nvPicPr>
        <xdr:cNvPr id="3090"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85725" y="28575"/>
          <a:ext cx="1104900" cy="390525"/>
        </a:xfrm>
        <a:prstGeom prst="rect">
          <a:avLst/>
        </a:prstGeom>
        <a:noFill/>
        <a:ln w="9525">
          <a:noFill/>
          <a:miter lim="800000"/>
          <a:headEnd/>
          <a:tailEnd/>
        </a:ln>
      </xdr:spPr>
    </xdr:pic>
    <xdr:clientData/>
  </xdr:twoCellAnchor>
  <xdr:twoCellAnchor>
    <xdr:from>
      <xdr:col>1</xdr:col>
      <xdr:colOff>381000</xdr:colOff>
      <xdr:row>103</xdr:row>
      <xdr:rowOff>0</xdr:rowOff>
    </xdr:from>
    <xdr:to>
      <xdr:col>1</xdr:col>
      <xdr:colOff>1447800</xdr:colOff>
      <xdr:row>103</xdr:row>
      <xdr:rowOff>0</xdr:rowOff>
    </xdr:to>
    <xdr:sp macro="" textlink="">
      <xdr:nvSpPr>
        <xdr:cNvPr id="3091" name="Line 12"/>
        <xdr:cNvSpPr>
          <a:spLocks noChangeShapeType="1"/>
        </xdr:cNvSpPr>
      </xdr:nvSpPr>
      <xdr:spPr bwMode="auto">
        <a:xfrm>
          <a:off x="1504950" y="17278350"/>
          <a:ext cx="106680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EMP\SEEDING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eding Plan"/>
      <sheetName val="Grasses"/>
      <sheetName val="Documentation"/>
    </sheetNames>
    <sheetDataSet>
      <sheetData sheetId="0"/>
      <sheetData sheetId="1">
        <row r="4">
          <cell r="G4">
            <v>1</v>
          </cell>
          <cell r="I4" t="str">
            <v>No Seeding Plan Needed</v>
          </cell>
        </row>
        <row r="5">
          <cell r="G5">
            <v>2</v>
          </cell>
          <cell r="H5" t="str">
            <v>CP-1</v>
          </cell>
        </row>
        <row r="6">
          <cell r="G6">
            <v>3</v>
          </cell>
          <cell r="H6" t="str">
            <v>CP-1</v>
          </cell>
          <cell r="I6" t="str">
            <v>Brome</v>
          </cell>
          <cell r="J6">
            <v>4</v>
          </cell>
          <cell r="K6" t="str">
            <v>Redtop</v>
          </cell>
          <cell r="L6">
            <v>0.5</v>
          </cell>
          <cell r="M6" t="str">
            <v>Red Clover</v>
          </cell>
          <cell r="N6">
            <v>2</v>
          </cell>
          <cell r="S6" t="str">
            <v>Companion Crop of Oats</v>
          </cell>
          <cell r="T6">
            <v>1.5</v>
          </cell>
        </row>
        <row r="7">
          <cell r="G7">
            <v>4</v>
          </cell>
          <cell r="H7" t="str">
            <v>CP-1</v>
          </cell>
          <cell r="I7" t="str">
            <v>Orchard Grass</v>
          </cell>
          <cell r="J7">
            <v>2</v>
          </cell>
          <cell r="K7" t="str">
            <v>Timothy</v>
          </cell>
          <cell r="L7">
            <v>1</v>
          </cell>
          <cell r="M7" t="str">
            <v>Sweet clover</v>
          </cell>
          <cell r="N7">
            <v>2</v>
          </cell>
          <cell r="S7" t="str">
            <v>Companion Crop of Oats</v>
          </cell>
          <cell r="T7">
            <v>1.5</v>
          </cell>
        </row>
        <row r="8">
          <cell r="G8">
            <v>5</v>
          </cell>
          <cell r="H8" t="str">
            <v>CP-1</v>
          </cell>
          <cell r="I8" t="str">
            <v>Brome</v>
          </cell>
          <cell r="J8">
            <v>8</v>
          </cell>
          <cell r="K8" t="str">
            <v>Alfalfa</v>
          </cell>
          <cell r="L8">
            <v>2.5</v>
          </cell>
          <cell r="M8" t="str">
            <v>Red Clover</v>
          </cell>
          <cell r="N8">
            <v>2</v>
          </cell>
          <cell r="S8" t="str">
            <v>Companion Crop of Oats</v>
          </cell>
          <cell r="T8">
            <v>1.5</v>
          </cell>
        </row>
        <row r="9">
          <cell r="G9">
            <v>6</v>
          </cell>
          <cell r="H9" t="str">
            <v>CP-1</v>
          </cell>
          <cell r="I9" t="str">
            <v>Orchard Grass</v>
          </cell>
          <cell r="J9">
            <v>2</v>
          </cell>
          <cell r="K9" t="str">
            <v>Timothy</v>
          </cell>
          <cell r="L9">
            <v>1</v>
          </cell>
          <cell r="M9" t="str">
            <v>Alsike Clover</v>
          </cell>
          <cell r="N9">
            <v>1</v>
          </cell>
          <cell r="S9" t="str">
            <v>Companion Crop of Oats</v>
          </cell>
          <cell r="T9">
            <v>1.5</v>
          </cell>
        </row>
        <row r="10">
          <cell r="G10">
            <v>7</v>
          </cell>
          <cell r="H10" t="str">
            <v>CP-1</v>
          </cell>
          <cell r="S10" t="str">
            <v>Companion Crop of Oats</v>
          </cell>
          <cell r="T10">
            <v>1.5</v>
          </cell>
        </row>
        <row r="11">
          <cell r="G11">
            <v>8</v>
          </cell>
          <cell r="H11" t="str">
            <v>CP-1</v>
          </cell>
          <cell r="I11" t="str">
            <v>Brome</v>
          </cell>
          <cell r="J11">
            <v>4</v>
          </cell>
          <cell r="K11" t="str">
            <v>Redtop</v>
          </cell>
          <cell r="L11">
            <v>0.5</v>
          </cell>
          <cell r="M11" t="str">
            <v>Alfalfa</v>
          </cell>
          <cell r="N11">
            <v>2</v>
          </cell>
          <cell r="O11" t="str">
            <v>Red Clover</v>
          </cell>
          <cell r="P11">
            <v>1</v>
          </cell>
          <cell r="S11" t="str">
            <v>Companion Crop of Oats</v>
          </cell>
          <cell r="T11">
            <v>1.5</v>
          </cell>
        </row>
        <row r="12">
          <cell r="G12">
            <v>9</v>
          </cell>
          <cell r="H12" t="str">
            <v>CP-1</v>
          </cell>
          <cell r="I12" t="str">
            <v>Orchard Grass</v>
          </cell>
          <cell r="J12">
            <v>2</v>
          </cell>
          <cell r="K12" t="str">
            <v>Timothy</v>
          </cell>
          <cell r="L12">
            <v>1</v>
          </cell>
          <cell r="M12" t="str">
            <v>Alfalfa</v>
          </cell>
          <cell r="N12">
            <v>2</v>
          </cell>
          <cell r="O12" t="str">
            <v>Sweet Clover</v>
          </cell>
          <cell r="P12">
            <v>1</v>
          </cell>
          <cell r="S12" t="str">
            <v>Companion Crop of Oats</v>
          </cell>
          <cell r="T12">
            <v>1.5</v>
          </cell>
        </row>
        <row r="13">
          <cell r="G13">
            <v>10</v>
          </cell>
          <cell r="H13" t="str">
            <v>CP-1</v>
          </cell>
          <cell r="I13" t="str">
            <v>Brome</v>
          </cell>
          <cell r="J13">
            <v>4</v>
          </cell>
          <cell r="K13" t="str">
            <v>Orchard Grass</v>
          </cell>
          <cell r="L13">
            <v>2</v>
          </cell>
          <cell r="M13" t="str">
            <v>Alfalfa</v>
          </cell>
          <cell r="N13">
            <v>2</v>
          </cell>
          <cell r="O13" t="str">
            <v>Red Clover</v>
          </cell>
          <cell r="P13">
            <v>1</v>
          </cell>
          <cell r="S13" t="str">
            <v>Companion Crop of Oats</v>
          </cell>
          <cell r="T13">
            <v>1.5</v>
          </cell>
        </row>
        <row r="14">
          <cell r="G14">
            <v>11</v>
          </cell>
          <cell r="H14" t="str">
            <v>CP-1</v>
          </cell>
          <cell r="I14" t="str">
            <v>Orchard Grass</v>
          </cell>
          <cell r="J14">
            <v>3</v>
          </cell>
          <cell r="K14" t="str">
            <v>Timothy</v>
          </cell>
          <cell r="L14">
            <v>1</v>
          </cell>
          <cell r="M14" t="str">
            <v>Red Clover</v>
          </cell>
          <cell r="N14">
            <v>1</v>
          </cell>
          <cell r="O14" t="str">
            <v>Alsike Clover</v>
          </cell>
          <cell r="P14">
            <v>1</v>
          </cell>
          <cell r="S14" t="str">
            <v>Companion Crop of Oats</v>
          </cell>
          <cell r="T14">
            <v>1.5</v>
          </cell>
        </row>
        <row r="15">
          <cell r="G15">
            <v>12</v>
          </cell>
          <cell r="H15" t="str">
            <v>CP-1</v>
          </cell>
          <cell r="S15" t="str">
            <v>Companion Crop of Oats</v>
          </cell>
          <cell r="T15">
            <v>1.5</v>
          </cell>
        </row>
        <row r="16">
          <cell r="G16">
            <v>13</v>
          </cell>
          <cell r="H16" t="str">
            <v>CP-2</v>
          </cell>
        </row>
        <row r="17">
          <cell r="G17">
            <v>14</v>
          </cell>
          <cell r="H17" t="str">
            <v>CP-2</v>
          </cell>
          <cell r="I17" t="str">
            <v>Big Bluestem</v>
          </cell>
          <cell r="J17">
            <v>2.5</v>
          </cell>
          <cell r="K17" t="str">
            <v>Indiangrass</v>
          </cell>
          <cell r="L17">
            <v>2.5</v>
          </cell>
          <cell r="M17" t="str">
            <v>Alfalfa</v>
          </cell>
          <cell r="N17">
            <v>2.5</v>
          </cell>
          <cell r="O17" t="str">
            <v>Red Clover</v>
          </cell>
          <cell r="P17">
            <v>1.5</v>
          </cell>
          <cell r="S17" t="str">
            <v>Oats (Optional)</v>
          </cell>
          <cell r="T17">
            <v>1</v>
          </cell>
        </row>
        <row r="18">
          <cell r="G18">
            <v>15</v>
          </cell>
          <cell r="H18" t="str">
            <v>CP-2</v>
          </cell>
          <cell r="I18" t="str">
            <v>Indiangrass</v>
          </cell>
          <cell r="J18">
            <v>2.5</v>
          </cell>
          <cell r="K18" t="str">
            <v>Switchgrass</v>
          </cell>
          <cell r="L18">
            <v>1.5</v>
          </cell>
          <cell r="M18" t="str">
            <v>Red Clover</v>
          </cell>
          <cell r="N18">
            <v>1.5</v>
          </cell>
          <cell r="O18" t="str">
            <v>Alsike Clover</v>
          </cell>
          <cell r="P18">
            <v>1</v>
          </cell>
          <cell r="S18" t="str">
            <v>Oats (Optional)</v>
          </cell>
          <cell r="T18">
            <v>1</v>
          </cell>
        </row>
        <row r="19">
          <cell r="G19">
            <v>16</v>
          </cell>
          <cell r="H19" t="str">
            <v>CP-2</v>
          </cell>
          <cell r="I19" t="str">
            <v>Big Bluestem</v>
          </cell>
          <cell r="J19">
            <v>2.5</v>
          </cell>
          <cell r="K19" t="str">
            <v>Switchgrass</v>
          </cell>
          <cell r="L19">
            <v>1.5</v>
          </cell>
          <cell r="M19" t="str">
            <v>Sweet clover</v>
          </cell>
          <cell r="N19">
            <v>1.5</v>
          </cell>
          <cell r="O19" t="str">
            <v>Red Clover</v>
          </cell>
          <cell r="P19">
            <v>2</v>
          </cell>
          <cell r="S19" t="str">
            <v>Oats (Optional)</v>
          </cell>
          <cell r="T19">
            <v>1</v>
          </cell>
        </row>
        <row r="20">
          <cell r="G20">
            <v>17</v>
          </cell>
          <cell r="H20" t="str">
            <v>CP-2</v>
          </cell>
          <cell r="I20" t="str">
            <v>Little Blue</v>
          </cell>
          <cell r="J20">
            <v>3</v>
          </cell>
          <cell r="K20" t="str">
            <v>Sideoats Grama</v>
          </cell>
          <cell r="L20">
            <v>3</v>
          </cell>
          <cell r="M20" t="str">
            <v>Alsike Clover</v>
          </cell>
          <cell r="N20">
            <v>1</v>
          </cell>
          <cell r="O20" t="str">
            <v>Ladino Clover</v>
          </cell>
          <cell r="P20">
            <v>1</v>
          </cell>
          <cell r="S20" t="str">
            <v>Oats (Optional)</v>
          </cell>
          <cell r="T20">
            <v>1</v>
          </cell>
        </row>
        <row r="21">
          <cell r="G21">
            <v>18</v>
          </cell>
          <cell r="H21" t="str">
            <v>CP-2</v>
          </cell>
        </row>
        <row r="22">
          <cell r="G22">
            <v>19</v>
          </cell>
          <cell r="H22" t="str">
            <v>CP-2</v>
          </cell>
          <cell r="I22" t="str">
            <v>Big Bluestem</v>
          </cell>
          <cell r="J22">
            <v>2</v>
          </cell>
          <cell r="K22" t="str">
            <v>Indiangrass</v>
          </cell>
          <cell r="L22">
            <v>2</v>
          </cell>
          <cell r="M22" t="str">
            <v>Switch Grass</v>
          </cell>
          <cell r="N22">
            <v>1</v>
          </cell>
          <cell r="O22" t="str">
            <v>Alfalfa</v>
          </cell>
          <cell r="P22">
            <v>2</v>
          </cell>
          <cell r="Q22" t="str">
            <v>Red Clover</v>
          </cell>
          <cell r="R22">
            <v>1.5</v>
          </cell>
          <cell r="S22" t="str">
            <v>Oats (Optional)</v>
          </cell>
          <cell r="T22">
            <v>1</v>
          </cell>
        </row>
        <row r="23">
          <cell r="G23">
            <v>20</v>
          </cell>
          <cell r="H23" t="str">
            <v>CP-2</v>
          </cell>
          <cell r="I23" t="str">
            <v>Indiangrass</v>
          </cell>
          <cell r="J23">
            <v>3</v>
          </cell>
          <cell r="K23" t="str">
            <v>Switchgrass</v>
          </cell>
          <cell r="L23">
            <v>1</v>
          </cell>
          <cell r="M23" t="str">
            <v>Big Bluestem</v>
          </cell>
          <cell r="N23">
            <v>1</v>
          </cell>
          <cell r="O23" t="str">
            <v>Red Clover</v>
          </cell>
          <cell r="P23">
            <v>1.5</v>
          </cell>
          <cell r="Q23" t="str">
            <v>Alsike Clover</v>
          </cell>
          <cell r="R23">
            <v>0.5</v>
          </cell>
          <cell r="S23" t="str">
            <v>Oats (Optional)</v>
          </cell>
          <cell r="T23">
            <v>1</v>
          </cell>
        </row>
        <row r="24">
          <cell r="G24">
            <v>21</v>
          </cell>
          <cell r="H24" t="str">
            <v>CP-2</v>
          </cell>
          <cell r="I24" t="str">
            <v>Big Bluestem</v>
          </cell>
          <cell r="J24">
            <v>2.5</v>
          </cell>
          <cell r="K24" t="str">
            <v>Switchgrass</v>
          </cell>
          <cell r="L24">
            <v>1.5</v>
          </cell>
          <cell r="M24" t="str">
            <v>Sweet clover</v>
          </cell>
          <cell r="N24">
            <v>1.5</v>
          </cell>
          <cell r="O24" t="str">
            <v>Red Clover</v>
          </cell>
          <cell r="P24">
            <v>2</v>
          </cell>
          <cell r="S24" t="str">
            <v>Oats (Optional)</v>
          </cell>
          <cell r="T24">
            <v>1</v>
          </cell>
        </row>
        <row r="25">
          <cell r="G25">
            <v>22</v>
          </cell>
          <cell r="H25" t="str">
            <v>CP-2</v>
          </cell>
          <cell r="I25" t="str">
            <v>Little Blue</v>
          </cell>
          <cell r="J25">
            <v>3</v>
          </cell>
          <cell r="K25" t="str">
            <v>Sideoats Grama</v>
          </cell>
          <cell r="L25">
            <v>3</v>
          </cell>
          <cell r="M25" t="str">
            <v>Canada Wild Rye</v>
          </cell>
          <cell r="N25">
            <v>3</v>
          </cell>
          <cell r="O25" t="str">
            <v>Alsike Clover</v>
          </cell>
          <cell r="P25">
            <v>0.5</v>
          </cell>
          <cell r="Q25" t="str">
            <v>Ladino Clover</v>
          </cell>
          <cell r="R25">
            <v>0.5</v>
          </cell>
          <cell r="S25" t="str">
            <v>Oats (Optional)</v>
          </cell>
          <cell r="T25">
            <v>1</v>
          </cell>
        </row>
        <row r="26">
          <cell r="G26">
            <v>23</v>
          </cell>
          <cell r="H26" t="str">
            <v>CP-2</v>
          </cell>
        </row>
        <row r="27">
          <cell r="G27">
            <v>24</v>
          </cell>
          <cell r="H27" t="str">
            <v>CP-4B</v>
          </cell>
          <cell r="S27" t="str">
            <v>Companion Crop of Oats</v>
          </cell>
          <cell r="T27">
            <v>1.5</v>
          </cell>
        </row>
        <row r="28">
          <cell r="G28">
            <v>25</v>
          </cell>
          <cell r="H28" t="str">
            <v>CP-4B</v>
          </cell>
          <cell r="S28" t="str">
            <v>Oats (Optional)</v>
          </cell>
          <cell r="T28">
            <v>1</v>
          </cell>
        </row>
        <row r="29">
          <cell r="G29">
            <v>26</v>
          </cell>
          <cell r="H29" t="str">
            <v>CP-4D</v>
          </cell>
          <cell r="S29" t="str">
            <v>Companion Crop of Oats</v>
          </cell>
          <cell r="T29">
            <v>1.5</v>
          </cell>
        </row>
        <row r="30">
          <cell r="G30">
            <v>27</v>
          </cell>
          <cell r="H30" t="str">
            <v>CP-4D</v>
          </cell>
          <cell r="S30" t="str">
            <v>Oats (Optional)</v>
          </cell>
          <cell r="T30">
            <v>1</v>
          </cell>
        </row>
        <row r="31">
          <cell r="G31">
            <v>28</v>
          </cell>
          <cell r="H31" t="str">
            <v>CP-10</v>
          </cell>
        </row>
        <row r="32">
          <cell r="G32">
            <v>29</v>
          </cell>
          <cell r="H32" t="str">
            <v>CP-10</v>
          </cell>
        </row>
        <row r="33">
          <cell r="G33">
            <v>30</v>
          </cell>
          <cell r="H33" t="str">
            <v>CP-10</v>
          </cell>
          <cell r="I33" t="str">
            <v>Brome</v>
          </cell>
          <cell r="J33">
            <v>4</v>
          </cell>
          <cell r="K33" t="str">
            <v>Redtop</v>
          </cell>
          <cell r="L33">
            <v>0.5</v>
          </cell>
          <cell r="M33" t="str">
            <v>Red Clover</v>
          </cell>
          <cell r="N33">
            <v>2</v>
          </cell>
        </row>
        <row r="34">
          <cell r="G34">
            <v>31</v>
          </cell>
          <cell r="H34" t="str">
            <v>CP-10</v>
          </cell>
          <cell r="I34" t="str">
            <v>Orchard Grass</v>
          </cell>
          <cell r="J34">
            <v>2</v>
          </cell>
          <cell r="K34" t="str">
            <v>Timothy</v>
          </cell>
          <cell r="L34">
            <v>1</v>
          </cell>
          <cell r="M34" t="str">
            <v>Sweet clover</v>
          </cell>
          <cell r="N34">
            <v>2</v>
          </cell>
        </row>
        <row r="35">
          <cell r="G35">
            <v>32</v>
          </cell>
          <cell r="H35" t="str">
            <v>CP-10</v>
          </cell>
          <cell r="I35" t="str">
            <v>Brome</v>
          </cell>
          <cell r="J35">
            <v>8</v>
          </cell>
          <cell r="K35" t="str">
            <v>Alfalfa</v>
          </cell>
          <cell r="L35">
            <v>2.5</v>
          </cell>
          <cell r="M35" t="str">
            <v>Red Clover</v>
          </cell>
          <cell r="N35">
            <v>2</v>
          </cell>
        </row>
        <row r="36">
          <cell r="G36">
            <v>33</v>
          </cell>
          <cell r="H36" t="str">
            <v>CP-10</v>
          </cell>
          <cell r="I36" t="str">
            <v>Orchard Grass</v>
          </cell>
          <cell r="J36">
            <v>2</v>
          </cell>
          <cell r="K36" t="str">
            <v>Timothy</v>
          </cell>
          <cell r="L36">
            <v>1</v>
          </cell>
          <cell r="M36" t="str">
            <v>Alsike Clover</v>
          </cell>
          <cell r="N36">
            <v>1</v>
          </cell>
        </row>
        <row r="37">
          <cell r="G37">
            <v>34</v>
          </cell>
          <cell r="H37" t="str">
            <v>CP-10</v>
          </cell>
        </row>
        <row r="38">
          <cell r="G38">
            <v>35</v>
          </cell>
          <cell r="H38" t="str">
            <v>CP-10</v>
          </cell>
          <cell r="I38" t="str">
            <v>Brome</v>
          </cell>
          <cell r="J38">
            <v>4</v>
          </cell>
          <cell r="K38" t="str">
            <v>Redtop</v>
          </cell>
          <cell r="L38">
            <v>0.5</v>
          </cell>
          <cell r="M38" t="str">
            <v>Alfalfa</v>
          </cell>
          <cell r="N38">
            <v>2</v>
          </cell>
          <cell r="O38" t="str">
            <v>Red Clover</v>
          </cell>
          <cell r="P38">
            <v>1</v>
          </cell>
        </row>
        <row r="39">
          <cell r="G39">
            <v>36</v>
          </cell>
          <cell r="H39" t="str">
            <v>CP-10</v>
          </cell>
          <cell r="I39" t="str">
            <v>Orchard Grass</v>
          </cell>
          <cell r="J39">
            <v>2</v>
          </cell>
          <cell r="K39" t="str">
            <v>Timothy</v>
          </cell>
          <cell r="L39">
            <v>1</v>
          </cell>
          <cell r="M39" t="str">
            <v>Alfalfa</v>
          </cell>
          <cell r="N39">
            <v>2</v>
          </cell>
          <cell r="O39" t="str">
            <v>Sweet Clover</v>
          </cell>
          <cell r="P39">
            <v>1</v>
          </cell>
        </row>
        <row r="40">
          <cell r="G40">
            <v>37</v>
          </cell>
          <cell r="H40" t="str">
            <v>CP-10</v>
          </cell>
          <cell r="I40" t="str">
            <v>Brome</v>
          </cell>
          <cell r="J40">
            <v>4</v>
          </cell>
          <cell r="K40" t="str">
            <v>Orchard Grass</v>
          </cell>
          <cell r="L40">
            <v>2</v>
          </cell>
          <cell r="M40" t="str">
            <v>Alfalfa</v>
          </cell>
          <cell r="N40">
            <v>2</v>
          </cell>
          <cell r="O40" t="str">
            <v>Red Clover</v>
          </cell>
          <cell r="P40">
            <v>1</v>
          </cell>
        </row>
        <row r="41">
          <cell r="G41">
            <v>38</v>
          </cell>
          <cell r="H41" t="str">
            <v>CP-10</v>
          </cell>
          <cell r="I41" t="str">
            <v>Orchard Grass</v>
          </cell>
          <cell r="J41">
            <v>3</v>
          </cell>
          <cell r="K41" t="str">
            <v>Timothy</v>
          </cell>
          <cell r="L41">
            <v>1</v>
          </cell>
          <cell r="M41" t="str">
            <v>Red Clover</v>
          </cell>
          <cell r="N41">
            <v>1</v>
          </cell>
          <cell r="O41" t="str">
            <v>Alsike Clover</v>
          </cell>
          <cell r="P41">
            <v>1</v>
          </cell>
        </row>
        <row r="42">
          <cell r="G42">
            <v>39</v>
          </cell>
          <cell r="H42" t="str">
            <v>CP-10</v>
          </cell>
          <cell r="I42" t="str">
            <v>Big Bluestem</v>
          </cell>
          <cell r="J42">
            <v>2.5</v>
          </cell>
          <cell r="K42" t="str">
            <v>Indiangrass</v>
          </cell>
          <cell r="L42">
            <v>2.5</v>
          </cell>
          <cell r="M42" t="str">
            <v>Alfalfa</v>
          </cell>
          <cell r="N42">
            <v>2.5</v>
          </cell>
          <cell r="O42" t="str">
            <v>Red Clover</v>
          </cell>
          <cell r="P42">
            <v>1.5</v>
          </cell>
        </row>
        <row r="43">
          <cell r="G43">
            <v>40</v>
          </cell>
          <cell r="H43" t="str">
            <v>CP-10</v>
          </cell>
          <cell r="I43" t="str">
            <v>Indiangrass</v>
          </cell>
          <cell r="J43">
            <v>2.5</v>
          </cell>
          <cell r="K43" t="str">
            <v>Switchgrass</v>
          </cell>
          <cell r="L43">
            <v>1.5</v>
          </cell>
          <cell r="M43" t="str">
            <v>Red Clover</v>
          </cell>
          <cell r="N43">
            <v>1.5</v>
          </cell>
          <cell r="O43" t="str">
            <v>Alsike Clover</v>
          </cell>
          <cell r="P43">
            <v>1</v>
          </cell>
        </row>
        <row r="44">
          <cell r="G44">
            <v>41</v>
          </cell>
          <cell r="H44" t="str">
            <v>CP-10</v>
          </cell>
          <cell r="I44" t="str">
            <v>Big Bluestem</v>
          </cell>
          <cell r="J44">
            <v>3</v>
          </cell>
          <cell r="K44" t="str">
            <v>Sideoats Grama</v>
          </cell>
          <cell r="L44">
            <v>3</v>
          </cell>
          <cell r="M44" t="str">
            <v>Alsike Clover</v>
          </cell>
          <cell r="N44">
            <v>1</v>
          </cell>
          <cell r="O44" t="str">
            <v>Red Clover</v>
          </cell>
          <cell r="P44">
            <v>2</v>
          </cell>
        </row>
        <row r="45">
          <cell r="G45">
            <v>42</v>
          </cell>
          <cell r="H45" t="str">
            <v>CP-10</v>
          </cell>
          <cell r="I45" t="str">
            <v>Little Blue</v>
          </cell>
          <cell r="J45">
            <v>3</v>
          </cell>
          <cell r="K45" t="str">
            <v>Sideoats Grama</v>
          </cell>
          <cell r="L45">
            <v>3</v>
          </cell>
          <cell r="M45" t="str">
            <v>Alsike Clover</v>
          </cell>
          <cell r="N45">
            <v>1</v>
          </cell>
          <cell r="O45" t="str">
            <v>Ladino Clover</v>
          </cell>
          <cell r="P45">
            <v>1</v>
          </cell>
        </row>
        <row r="46">
          <cell r="G46">
            <v>43</v>
          </cell>
          <cell r="H46" t="str">
            <v>CP-10</v>
          </cell>
        </row>
        <row r="47">
          <cell r="G47">
            <v>44</v>
          </cell>
          <cell r="H47" t="str">
            <v>CP-10</v>
          </cell>
          <cell r="I47" t="str">
            <v>Big Bluestem</v>
          </cell>
          <cell r="J47">
            <v>2</v>
          </cell>
          <cell r="K47" t="str">
            <v>Indiangrass</v>
          </cell>
          <cell r="L47">
            <v>2</v>
          </cell>
          <cell r="M47" t="str">
            <v>Switch Grass</v>
          </cell>
          <cell r="N47">
            <v>1</v>
          </cell>
          <cell r="O47" t="str">
            <v>Alfalfa</v>
          </cell>
          <cell r="P47">
            <v>2</v>
          </cell>
        </row>
        <row r="48">
          <cell r="G48">
            <v>45</v>
          </cell>
          <cell r="H48" t="str">
            <v>CP-10</v>
          </cell>
          <cell r="I48" t="str">
            <v>Indiangrass</v>
          </cell>
          <cell r="J48">
            <v>3</v>
          </cell>
          <cell r="K48" t="str">
            <v>Switchgrass</v>
          </cell>
          <cell r="L48">
            <v>1</v>
          </cell>
          <cell r="M48" t="str">
            <v>Big Bluestem</v>
          </cell>
          <cell r="N48">
            <v>1</v>
          </cell>
          <cell r="O48" t="str">
            <v>Red Clover</v>
          </cell>
          <cell r="P48">
            <v>1.5</v>
          </cell>
        </row>
        <row r="49">
          <cell r="G49">
            <v>46</v>
          </cell>
          <cell r="H49" t="str">
            <v>CP-10</v>
          </cell>
          <cell r="I49" t="str">
            <v>Big Bluestem</v>
          </cell>
          <cell r="J49">
            <v>2.5</v>
          </cell>
          <cell r="K49" t="str">
            <v>Switchgrass</v>
          </cell>
          <cell r="L49">
            <v>1.5</v>
          </cell>
          <cell r="M49" t="str">
            <v>Sweet clover</v>
          </cell>
          <cell r="N49">
            <v>1.5</v>
          </cell>
          <cell r="O49" t="str">
            <v>Red Clover</v>
          </cell>
          <cell r="P49">
            <v>2</v>
          </cell>
        </row>
        <row r="50">
          <cell r="G50">
            <v>47</v>
          </cell>
          <cell r="H50" t="str">
            <v>CP-10</v>
          </cell>
          <cell r="I50" t="str">
            <v>Little Blue</v>
          </cell>
          <cell r="J50">
            <v>3</v>
          </cell>
          <cell r="K50" t="str">
            <v>Sideoats Grama</v>
          </cell>
          <cell r="L50">
            <v>3</v>
          </cell>
          <cell r="M50" t="str">
            <v>Canada Wild Rye</v>
          </cell>
          <cell r="N50">
            <v>3</v>
          </cell>
          <cell r="O50" t="str">
            <v>Alsike Clover</v>
          </cell>
          <cell r="P50">
            <v>0.5</v>
          </cell>
        </row>
        <row r="51">
          <cell r="G51">
            <v>48</v>
          </cell>
          <cell r="H51" t="str">
            <v>CP-10</v>
          </cell>
        </row>
        <row r="52">
          <cell r="G52">
            <v>49</v>
          </cell>
          <cell r="H52" t="str">
            <v>CP-12</v>
          </cell>
        </row>
        <row r="53">
          <cell r="G53">
            <v>50</v>
          </cell>
          <cell r="H53" t="str">
            <v>CP-23</v>
          </cell>
          <cell r="S53" t="str">
            <v>Companion Crop of Oats</v>
          </cell>
          <cell r="T53">
            <v>1.5</v>
          </cell>
        </row>
        <row r="54">
          <cell r="G54">
            <v>51</v>
          </cell>
          <cell r="H54" t="str">
            <v>CP-23</v>
          </cell>
          <cell r="S54" t="str">
            <v>Companion Crop of Oats</v>
          </cell>
          <cell r="T54">
            <v>1.5</v>
          </cell>
        </row>
        <row r="55">
          <cell r="G55">
            <v>52</v>
          </cell>
          <cell r="H55" t="str">
            <v>CP-23</v>
          </cell>
        </row>
        <row r="56">
          <cell r="G56">
            <v>53</v>
          </cell>
          <cell r="H56" t="str">
            <v>CP-25</v>
          </cell>
        </row>
        <row r="57">
          <cell r="G57">
            <v>0</v>
          </cell>
        </row>
        <row r="58">
          <cell r="G58">
            <v>0</v>
          </cell>
        </row>
        <row r="59">
          <cell r="G59">
            <v>0</v>
          </cell>
        </row>
        <row r="60">
          <cell r="G60">
            <v>0</v>
          </cell>
        </row>
        <row r="61">
          <cell r="G61">
            <v>0</v>
          </cell>
        </row>
        <row r="62">
          <cell r="G62">
            <v>0</v>
          </cell>
        </row>
        <row r="63">
          <cell r="G63">
            <v>0</v>
          </cell>
        </row>
        <row r="64">
          <cell r="G64">
            <v>0</v>
          </cell>
        </row>
        <row r="65">
          <cell r="G65">
            <v>0</v>
          </cell>
        </row>
        <row r="66">
          <cell r="G66">
            <v>0</v>
          </cell>
        </row>
        <row r="67">
          <cell r="G67">
            <v>0</v>
          </cell>
        </row>
        <row r="68">
          <cell r="G68">
            <v>0</v>
          </cell>
        </row>
        <row r="69">
          <cell r="G69">
            <v>0</v>
          </cell>
        </row>
        <row r="70">
          <cell r="G70">
            <v>0</v>
          </cell>
        </row>
        <row r="71">
          <cell r="G71">
            <v>0</v>
          </cell>
        </row>
        <row r="72">
          <cell r="G72">
            <v>0</v>
          </cell>
        </row>
        <row r="73">
          <cell r="G73">
            <v>0</v>
          </cell>
        </row>
        <row r="74">
          <cell r="G74">
            <v>0</v>
          </cell>
        </row>
        <row r="75">
          <cell r="G75">
            <v>0</v>
          </cell>
        </row>
        <row r="76">
          <cell r="G76">
            <v>0</v>
          </cell>
        </row>
        <row r="77">
          <cell r="G77">
            <v>0</v>
          </cell>
        </row>
        <row r="78">
          <cell r="G78">
            <v>0</v>
          </cell>
        </row>
        <row r="79">
          <cell r="G79">
            <v>0</v>
          </cell>
        </row>
        <row r="80">
          <cell r="G80">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6">
          <cell r="G96">
            <v>0</v>
          </cell>
        </row>
        <row r="97">
          <cell r="G97">
            <v>0</v>
          </cell>
        </row>
        <row r="98">
          <cell r="G98">
            <v>0</v>
          </cell>
        </row>
        <row r="99">
          <cell r="G99">
            <v>0</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17">
          <cell r="G117">
            <v>0</v>
          </cell>
        </row>
        <row r="118">
          <cell r="G118">
            <v>0</v>
          </cell>
        </row>
        <row r="119">
          <cell r="G119">
            <v>0</v>
          </cell>
        </row>
        <row r="120">
          <cell r="G120">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0">
          <cell r="G200">
            <v>0</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plants.usda.gov/java/profile?symbol=CYLU2" TargetMode="External"/><Relationship Id="rId18" Type="http://schemas.openxmlformats.org/officeDocument/2006/relationships/hyperlink" Target="http://plants.usda.gov/java/profile?symbol=CASC11" TargetMode="External"/><Relationship Id="rId26" Type="http://schemas.openxmlformats.org/officeDocument/2006/relationships/hyperlink" Target="http://plants.usda.gov/java/profile?symbol=CABE2" TargetMode="External"/><Relationship Id="rId39" Type="http://schemas.openxmlformats.org/officeDocument/2006/relationships/hyperlink" Target="http://plants.usda.gov/java/profile?symbol=ELPA3" TargetMode="External"/><Relationship Id="rId21" Type="http://schemas.openxmlformats.org/officeDocument/2006/relationships/hyperlink" Target="http://plants.usda.gov/java/profile?symbol=CAGR5" TargetMode="External"/><Relationship Id="rId34" Type="http://schemas.openxmlformats.org/officeDocument/2006/relationships/hyperlink" Target="http://plants.usda.gov/java/profile?symbol=CASP3" TargetMode="External"/><Relationship Id="rId42" Type="http://schemas.openxmlformats.org/officeDocument/2006/relationships/hyperlink" Target="http://plants.usda.gov/java/profile?symbol=ELHY" TargetMode="External"/><Relationship Id="rId47" Type="http://schemas.openxmlformats.org/officeDocument/2006/relationships/hyperlink" Target="http://plants.usda.gov/java/profile?symbol=CASC11" TargetMode="External"/><Relationship Id="rId50" Type="http://schemas.openxmlformats.org/officeDocument/2006/relationships/hyperlink" Target="http://plants.usda.gov/java/profile?symbol=CAGR5" TargetMode="External"/><Relationship Id="rId55" Type="http://schemas.openxmlformats.org/officeDocument/2006/relationships/hyperlink" Target="http://plants.usda.gov/java/profile?symbol=CACA4" TargetMode="External"/><Relationship Id="rId63" Type="http://schemas.openxmlformats.org/officeDocument/2006/relationships/hyperlink" Target="http://plants.usda.gov/java/profile?symbol=CATY" TargetMode="External"/><Relationship Id="rId7" Type="http://schemas.openxmlformats.org/officeDocument/2006/relationships/hyperlink" Target="http://plants.usda.gov/java/profile?symbol=JUARL" TargetMode="External"/><Relationship Id="rId2" Type="http://schemas.openxmlformats.org/officeDocument/2006/relationships/hyperlink" Target="http://plants.usda.gov/java/profile?symbol=ELCA4" TargetMode="External"/><Relationship Id="rId16" Type="http://schemas.openxmlformats.org/officeDocument/2006/relationships/hyperlink" Target="http://plants.usda.gov/java/profile?symbol=CATR7" TargetMode="External"/><Relationship Id="rId20" Type="http://schemas.openxmlformats.org/officeDocument/2006/relationships/hyperlink" Target="http://plants.usda.gov/java/profile?symbol=CAHI6" TargetMode="External"/><Relationship Id="rId29" Type="http://schemas.openxmlformats.org/officeDocument/2006/relationships/hyperlink" Target="http://plants.usda.gov/java/profile?symbol=BRCI2" TargetMode="External"/><Relationship Id="rId41" Type="http://schemas.openxmlformats.org/officeDocument/2006/relationships/hyperlink" Target="http://plants.usda.gov/java/profile?symbol=HOJU" TargetMode="External"/><Relationship Id="rId54" Type="http://schemas.openxmlformats.org/officeDocument/2006/relationships/hyperlink" Target="http://plants.usda.gov/java/profile?symbol=CABE2" TargetMode="External"/><Relationship Id="rId62" Type="http://schemas.openxmlformats.org/officeDocument/2006/relationships/hyperlink" Target="http://plants.usda.gov/java/profile?symbol=CASP3" TargetMode="External"/><Relationship Id="rId1" Type="http://schemas.openxmlformats.org/officeDocument/2006/relationships/hyperlink" Target="http://plants.usda.gov/java/profile?symbol=ELPA3" TargetMode="External"/><Relationship Id="rId6" Type="http://schemas.openxmlformats.org/officeDocument/2006/relationships/hyperlink" Target="http://plants.usda.gov/java/profile?symbol=ELHY" TargetMode="External"/><Relationship Id="rId11" Type="http://schemas.openxmlformats.org/officeDocument/2006/relationships/hyperlink" Target="http://plants.usda.gov/java/profile?symbol=SCPU10" TargetMode="External"/><Relationship Id="rId24" Type="http://schemas.openxmlformats.org/officeDocument/2006/relationships/hyperlink" Target="http://plants.usda.gov/java/profile?symbol=CACR6" TargetMode="External"/><Relationship Id="rId32" Type="http://schemas.openxmlformats.org/officeDocument/2006/relationships/hyperlink" Target="http://plants.usda.gov/java/profile?symbol=BESY" TargetMode="External"/><Relationship Id="rId37" Type="http://schemas.openxmlformats.org/officeDocument/2006/relationships/hyperlink" Target="http://plants.usda.gov/java/profile?symbol=ELOB2" TargetMode="External"/><Relationship Id="rId40" Type="http://schemas.openxmlformats.org/officeDocument/2006/relationships/hyperlink" Target="http://plants.usda.gov/java/profile?symbol=GLST" TargetMode="External"/><Relationship Id="rId45" Type="http://schemas.openxmlformats.org/officeDocument/2006/relationships/hyperlink" Target="http://plants.usda.gov/java/profile?symbol=CATR7" TargetMode="External"/><Relationship Id="rId53" Type="http://schemas.openxmlformats.org/officeDocument/2006/relationships/hyperlink" Target="http://plants.usda.gov/java/profile?symbol=CACR6" TargetMode="External"/><Relationship Id="rId58" Type="http://schemas.openxmlformats.org/officeDocument/2006/relationships/hyperlink" Target="http://plants.usda.gov/java/profile?symbol=BOGR2" TargetMode="External"/><Relationship Id="rId66" Type="http://schemas.openxmlformats.org/officeDocument/2006/relationships/printerSettings" Target="../printerSettings/printerSettings4.bin"/><Relationship Id="rId5" Type="http://schemas.openxmlformats.org/officeDocument/2006/relationships/hyperlink" Target="http://plants.usda.gov/java/profile?symbol=HOJU" TargetMode="External"/><Relationship Id="rId15" Type="http://schemas.openxmlformats.org/officeDocument/2006/relationships/hyperlink" Target="http://plants.usda.gov/java/profile?symbol=CAVE6" TargetMode="External"/><Relationship Id="rId23" Type="http://schemas.openxmlformats.org/officeDocument/2006/relationships/hyperlink" Target="http://plants.usda.gov/java/profile?symbol=CACR7" TargetMode="External"/><Relationship Id="rId28" Type="http://schemas.openxmlformats.org/officeDocument/2006/relationships/hyperlink" Target="http://plants.usda.gov/java/profile?symbol=BRKA2" TargetMode="External"/><Relationship Id="rId36" Type="http://schemas.openxmlformats.org/officeDocument/2006/relationships/hyperlink" Target="http://plants.usda.gov/java/profile?symbol=DIAM" TargetMode="External"/><Relationship Id="rId49" Type="http://schemas.openxmlformats.org/officeDocument/2006/relationships/hyperlink" Target="http://plants.usda.gov/java/profile?symbol=CAHI6" TargetMode="External"/><Relationship Id="rId57" Type="http://schemas.openxmlformats.org/officeDocument/2006/relationships/hyperlink" Target="http://plants.usda.gov/java/profile?symbol=BRCI2" TargetMode="External"/><Relationship Id="rId61" Type="http://schemas.openxmlformats.org/officeDocument/2006/relationships/hyperlink" Target="http://plants.usda.gov/java/profile?symbol=CAGR2" TargetMode="External"/><Relationship Id="rId10" Type="http://schemas.openxmlformats.org/officeDocument/2006/relationships/hyperlink" Target="http://plants.usda.gov/java/profile?symbol=POPA2" TargetMode="External"/><Relationship Id="rId19" Type="http://schemas.openxmlformats.org/officeDocument/2006/relationships/hyperlink" Target="http://plants.usda.gov/java/profile?symbol=CAHY4" TargetMode="External"/><Relationship Id="rId31" Type="http://schemas.openxmlformats.org/officeDocument/2006/relationships/hyperlink" Target="http://plants.usda.gov/java/profile?symbol=ANGE" TargetMode="External"/><Relationship Id="rId44" Type="http://schemas.openxmlformats.org/officeDocument/2006/relationships/hyperlink" Target="http://plants.usda.gov/java/profile?symbol=CAVE6" TargetMode="External"/><Relationship Id="rId52" Type="http://schemas.openxmlformats.org/officeDocument/2006/relationships/hyperlink" Target="http://plants.usda.gov/java/profile?symbol=CACR7" TargetMode="External"/><Relationship Id="rId60" Type="http://schemas.openxmlformats.org/officeDocument/2006/relationships/hyperlink" Target="http://plants.usda.gov/java/profile?symbol=BESY" TargetMode="External"/><Relationship Id="rId65" Type="http://schemas.openxmlformats.org/officeDocument/2006/relationships/hyperlink" Target="http://plants.usda.gov/java/profile?symbol=JUCA3" TargetMode="External"/><Relationship Id="rId4" Type="http://schemas.openxmlformats.org/officeDocument/2006/relationships/hyperlink" Target="http://plants.usda.gov/java/profile?symbol=GLST" TargetMode="External"/><Relationship Id="rId9" Type="http://schemas.openxmlformats.org/officeDocument/2006/relationships/hyperlink" Target="http://plants.usda.gov/java/profile?symbol=JUEF" TargetMode="External"/><Relationship Id="rId14" Type="http://schemas.openxmlformats.org/officeDocument/2006/relationships/hyperlink" Target="http://plants.usda.gov/java/profile?symbol=CAVU2" TargetMode="External"/><Relationship Id="rId22" Type="http://schemas.openxmlformats.org/officeDocument/2006/relationships/hyperlink" Target="http://plants.usda.gov/java/profile?symbol=CAFR3" TargetMode="External"/><Relationship Id="rId27" Type="http://schemas.openxmlformats.org/officeDocument/2006/relationships/hyperlink" Target="http://plants.usda.gov/java/profile?symbol=CACA4" TargetMode="External"/><Relationship Id="rId30" Type="http://schemas.openxmlformats.org/officeDocument/2006/relationships/hyperlink" Target="http://plants.usda.gov/java/profile?symbol=BOGR2" TargetMode="External"/><Relationship Id="rId35" Type="http://schemas.openxmlformats.org/officeDocument/2006/relationships/hyperlink" Target="http://plants.usda.gov/java/profile?symbol=CATY" TargetMode="External"/><Relationship Id="rId43" Type="http://schemas.openxmlformats.org/officeDocument/2006/relationships/hyperlink" Target="http://plants.usda.gov/java/profile?symbol=JUARL" TargetMode="External"/><Relationship Id="rId48" Type="http://schemas.openxmlformats.org/officeDocument/2006/relationships/hyperlink" Target="http://plants.usda.gov/java/profile?symbol=CAHY4" TargetMode="External"/><Relationship Id="rId56" Type="http://schemas.openxmlformats.org/officeDocument/2006/relationships/hyperlink" Target="http://plants.usda.gov/java/profile?symbol=BRKA2" TargetMode="External"/><Relationship Id="rId64" Type="http://schemas.openxmlformats.org/officeDocument/2006/relationships/hyperlink" Target="http://plants.usda.gov/java/profile?symbol=DIAM" TargetMode="External"/><Relationship Id="rId8" Type="http://schemas.openxmlformats.org/officeDocument/2006/relationships/hyperlink" Target="http://plants.usda.gov/java/profile?symbol=JUDU2" TargetMode="External"/><Relationship Id="rId51" Type="http://schemas.openxmlformats.org/officeDocument/2006/relationships/hyperlink" Target="http://plants.usda.gov/java/profile?symbol=CAFR3" TargetMode="External"/><Relationship Id="rId3" Type="http://schemas.openxmlformats.org/officeDocument/2006/relationships/hyperlink" Target="http://plants.usda.gov/java/profile?symbol=GLGR" TargetMode="External"/><Relationship Id="rId12" Type="http://schemas.openxmlformats.org/officeDocument/2006/relationships/hyperlink" Target="http://plants.usda.gov/java/profile?symbol=TRDA3" TargetMode="External"/><Relationship Id="rId17" Type="http://schemas.openxmlformats.org/officeDocument/2006/relationships/hyperlink" Target="http://plants.usda.gov/java/profile?symbol=CAST16" TargetMode="External"/><Relationship Id="rId25" Type="http://schemas.openxmlformats.org/officeDocument/2006/relationships/hyperlink" Target="http://plants.usda.gov/java/profile?symbol=CABI3" TargetMode="External"/><Relationship Id="rId33" Type="http://schemas.openxmlformats.org/officeDocument/2006/relationships/hyperlink" Target="http://plants.usda.gov/java/profile?symbol=CAGR2" TargetMode="External"/><Relationship Id="rId38" Type="http://schemas.openxmlformats.org/officeDocument/2006/relationships/hyperlink" Target="http://plants.usda.gov/java/profile?symbol=JUCA3" TargetMode="External"/><Relationship Id="rId46" Type="http://schemas.openxmlformats.org/officeDocument/2006/relationships/hyperlink" Target="http://plants.usda.gov/java/profile?symbol=CAST16" TargetMode="External"/><Relationship Id="rId59" Type="http://schemas.openxmlformats.org/officeDocument/2006/relationships/hyperlink" Target="http://plants.usda.gov/java/profile?symbol=ANGE"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plants.usda.gov/java/profile?symbol=ANCA8" TargetMode="External"/><Relationship Id="rId18" Type="http://schemas.openxmlformats.org/officeDocument/2006/relationships/hyperlink" Target="http://plants.usda.gov/java/profile?symbol=AQCA" TargetMode="External"/><Relationship Id="rId26" Type="http://schemas.openxmlformats.org/officeDocument/2006/relationships/hyperlink" Target="http://plants.usda.gov/java/profile?symbol=ASEX" TargetMode="External"/><Relationship Id="rId39" Type="http://schemas.openxmlformats.org/officeDocument/2006/relationships/hyperlink" Target="http://plants.usda.gov/java/profile?symbol=SYPR6" TargetMode="External"/><Relationship Id="rId21" Type="http://schemas.openxmlformats.org/officeDocument/2006/relationships/hyperlink" Target="http://plants.usda.gov/java/profile?symbol=ARTR" TargetMode="External"/><Relationship Id="rId34" Type="http://schemas.openxmlformats.org/officeDocument/2006/relationships/hyperlink" Target="http://plants.usda.gov/java/profile?symbol=SYER" TargetMode="External"/><Relationship Id="rId42" Type="http://schemas.openxmlformats.org/officeDocument/2006/relationships/hyperlink" Target="http://plants.usda.gov/java/profile?symbol=SYSH" TargetMode="External"/><Relationship Id="rId47" Type="http://schemas.openxmlformats.org/officeDocument/2006/relationships/hyperlink" Target="http://plants.usda.gov/java/profile?symbol=BATI" TargetMode="External"/><Relationship Id="rId50" Type="http://schemas.openxmlformats.org/officeDocument/2006/relationships/hyperlink" Target="http://plants.usda.gov/java/profile?symbol=BICO5" TargetMode="External"/><Relationship Id="rId55" Type="http://schemas.openxmlformats.org/officeDocument/2006/relationships/hyperlink" Target="http://plants.usda.gov/java/profile?symbol=ARPL4" TargetMode="External"/><Relationship Id="rId63" Type="http://schemas.openxmlformats.org/officeDocument/2006/relationships/hyperlink" Target="http://plants.usda.gov/java/profile?symbol=ONBE" TargetMode="External"/><Relationship Id="rId68" Type="http://schemas.openxmlformats.org/officeDocument/2006/relationships/hyperlink" Target="http://plants.usda.gov/java/profile?symbol=PETU" TargetMode="External"/><Relationship Id="rId76" Type="http://schemas.openxmlformats.org/officeDocument/2006/relationships/hyperlink" Target="http://plants.usda.gov/java/profile?symbol=POPE2" TargetMode="External"/><Relationship Id="rId84" Type="http://schemas.openxmlformats.org/officeDocument/2006/relationships/hyperlink" Target="http://plants.usda.gov/java/profile?symbol=SIPE2" TargetMode="External"/><Relationship Id="rId89" Type="http://schemas.openxmlformats.org/officeDocument/2006/relationships/hyperlink" Target="http://plants.usda.gov/java/profile?symbol=SOSP2" TargetMode="External"/><Relationship Id="rId7" Type="http://schemas.openxmlformats.org/officeDocument/2006/relationships/hyperlink" Target="http://plants.usda.gov/java/profile?symbol=AGNE2" TargetMode="External"/><Relationship Id="rId71" Type="http://schemas.openxmlformats.org/officeDocument/2006/relationships/hyperlink" Target="http://plants.usda.gov/java/profile?symbol=PHDI5" TargetMode="External"/><Relationship Id="rId92" Type="http://schemas.openxmlformats.org/officeDocument/2006/relationships/hyperlink" Target="http://plants.usda.gov/java/profile?symbol=VIPUP2" TargetMode="External"/><Relationship Id="rId2" Type="http://schemas.openxmlformats.org/officeDocument/2006/relationships/hyperlink" Target="http://plants.usda.gov/java/profile?symbol=ACCA4" TargetMode="External"/><Relationship Id="rId16" Type="http://schemas.openxmlformats.org/officeDocument/2006/relationships/hyperlink" Target="http://plants.usda.gov/java/profile?symbol=ANAT" TargetMode="External"/><Relationship Id="rId29" Type="http://schemas.openxmlformats.org/officeDocument/2006/relationships/hyperlink" Target="http://plants.usda.gov/java/profile?symbol=ASPU2" TargetMode="External"/><Relationship Id="rId11" Type="http://schemas.openxmlformats.org/officeDocument/2006/relationships/hyperlink" Target="http://plants.usda.gov/java/profile?symbol=ALST" TargetMode="External"/><Relationship Id="rId24" Type="http://schemas.openxmlformats.org/officeDocument/2006/relationships/hyperlink" Target="http://plants.usda.gov/java/profile?symbol=ARLU" TargetMode="External"/><Relationship Id="rId32" Type="http://schemas.openxmlformats.org/officeDocument/2006/relationships/hyperlink" Target="http://plants.usda.gov/java/profile?symbol=ASVE" TargetMode="External"/><Relationship Id="rId37" Type="http://schemas.openxmlformats.org/officeDocument/2006/relationships/hyperlink" Target="http://plants.usda.gov/java/profile?symbol=SYPI2" TargetMode="External"/><Relationship Id="rId40" Type="http://schemas.openxmlformats.org/officeDocument/2006/relationships/hyperlink" Target="http://plants.usda.gov/java/profile?symbol=SYUR" TargetMode="External"/><Relationship Id="rId45" Type="http://schemas.openxmlformats.org/officeDocument/2006/relationships/hyperlink" Target="http://plants.usda.gov/java/profile?symbol=BAAU" TargetMode="External"/><Relationship Id="rId53" Type="http://schemas.openxmlformats.org/officeDocument/2006/relationships/hyperlink" Target="http://plants.usda.gov/java/profile?symbol=BOAS" TargetMode="External"/><Relationship Id="rId58" Type="http://schemas.openxmlformats.org/officeDocument/2006/relationships/hyperlink" Target="http://plants.usda.gov/java/profile?symbol=MOFI" TargetMode="External"/><Relationship Id="rId66" Type="http://schemas.openxmlformats.org/officeDocument/2006/relationships/hyperlink" Target="http://plants.usda.gov/java/profile?symbol=PEGR7" TargetMode="External"/><Relationship Id="rId74" Type="http://schemas.openxmlformats.org/officeDocument/2006/relationships/hyperlink" Target="http://plants.usda.gov/java/profile?symbol=POPE" TargetMode="External"/><Relationship Id="rId79" Type="http://schemas.openxmlformats.org/officeDocument/2006/relationships/hyperlink" Target="http://plants.usda.gov/java/profile?symbol=ORON" TargetMode="External"/><Relationship Id="rId87" Type="http://schemas.openxmlformats.org/officeDocument/2006/relationships/hyperlink" Target="http://plants.usda.gov/java/profile?symbol=OLRIH" TargetMode="External"/><Relationship Id="rId5" Type="http://schemas.openxmlformats.org/officeDocument/2006/relationships/hyperlink" Target="http://plants.usda.gov/java/profile?symbol=AGTE3" TargetMode="External"/><Relationship Id="rId61" Type="http://schemas.openxmlformats.org/officeDocument/2006/relationships/hyperlink" Target="http://plants.usda.gov/java/profile?symbol=OEPI2" TargetMode="External"/><Relationship Id="rId82" Type="http://schemas.openxmlformats.org/officeDocument/2006/relationships/hyperlink" Target="http://plants.usda.gov/java/profile?symbol=SIIN2" TargetMode="External"/><Relationship Id="rId90" Type="http://schemas.openxmlformats.org/officeDocument/2006/relationships/hyperlink" Target="http://plants.usda.gov/java/profile?symbol=SOUL2" TargetMode="External"/><Relationship Id="rId95" Type="http://schemas.openxmlformats.org/officeDocument/2006/relationships/printerSettings" Target="../printerSettings/printerSettings5.bin"/><Relationship Id="rId19" Type="http://schemas.openxmlformats.org/officeDocument/2006/relationships/hyperlink" Target="http://plants.usda.gov/java/profile?symbol=ARGL" TargetMode="External"/><Relationship Id="rId14" Type="http://schemas.openxmlformats.org/officeDocument/2006/relationships/hyperlink" Target="http://plants.usda.gov/java/profile?symbol=ANCY" TargetMode="External"/><Relationship Id="rId22" Type="http://schemas.openxmlformats.org/officeDocument/2006/relationships/hyperlink" Target="http://plants.usda.gov/java/profile?symbol=ARAT" TargetMode="External"/><Relationship Id="rId27" Type="http://schemas.openxmlformats.org/officeDocument/2006/relationships/hyperlink" Target="http://plants.usda.gov/java/profile?symbol=ASHI" TargetMode="External"/><Relationship Id="rId30" Type="http://schemas.openxmlformats.org/officeDocument/2006/relationships/hyperlink" Target="http://plants.usda.gov/java/profile?symbol=ASSU3" TargetMode="External"/><Relationship Id="rId35" Type="http://schemas.openxmlformats.org/officeDocument/2006/relationships/hyperlink" Target="http://plants.usda.gov/java/profile?symbol=SYLA3" TargetMode="External"/><Relationship Id="rId43" Type="http://schemas.openxmlformats.org/officeDocument/2006/relationships/hyperlink" Target="http://plants.usda.gov/java/profile?symbol=ASCA11" TargetMode="External"/><Relationship Id="rId48" Type="http://schemas.openxmlformats.org/officeDocument/2006/relationships/hyperlink" Target="http://plants.usda.gov/java/profile?symbol=BIAR" TargetMode="External"/><Relationship Id="rId56" Type="http://schemas.openxmlformats.org/officeDocument/2006/relationships/hyperlink" Target="http://plants.usda.gov/java/profile?symbol=CAIN2" TargetMode="External"/><Relationship Id="rId64" Type="http://schemas.openxmlformats.org/officeDocument/2006/relationships/hyperlink" Target="http://plants.usda.gov/java/profile?symbol=PECO4" TargetMode="External"/><Relationship Id="rId69" Type="http://schemas.openxmlformats.org/officeDocument/2006/relationships/hyperlink" Target="http://plants.usda.gov/java/profile?symbol=DACA7" TargetMode="External"/><Relationship Id="rId77" Type="http://schemas.openxmlformats.org/officeDocument/2006/relationships/hyperlink" Target="http://plants.usda.gov/java/profile?symbol=POPU5" TargetMode="External"/><Relationship Id="rId8" Type="http://schemas.openxmlformats.org/officeDocument/2006/relationships/hyperlink" Target="http://plants.usda.gov/java/profile?symbol=AGSC" TargetMode="External"/><Relationship Id="rId51" Type="http://schemas.openxmlformats.org/officeDocument/2006/relationships/hyperlink" Target="http://plants.usda.gov/java/profile?symbol=BIFR" TargetMode="External"/><Relationship Id="rId72" Type="http://schemas.openxmlformats.org/officeDocument/2006/relationships/hyperlink" Target="http://plants.usda.gov/java/profile?symbol=PHMA4" TargetMode="External"/><Relationship Id="rId80" Type="http://schemas.openxmlformats.org/officeDocument/2006/relationships/hyperlink" Target="http://plants.usda.gov/java/profile?symbol=SINI" TargetMode="External"/><Relationship Id="rId85" Type="http://schemas.openxmlformats.org/officeDocument/2006/relationships/hyperlink" Target="http://plants.usda.gov/java/profile?symbol=SITE" TargetMode="External"/><Relationship Id="rId93" Type="http://schemas.openxmlformats.org/officeDocument/2006/relationships/hyperlink" Target="http://plants.usda.gov/java/profile?symbol=BABR2" TargetMode="External"/><Relationship Id="rId3" Type="http://schemas.openxmlformats.org/officeDocument/2006/relationships/hyperlink" Target="http://plants.usda.gov/java/profile?symbol=ACPA" TargetMode="External"/><Relationship Id="rId12" Type="http://schemas.openxmlformats.org/officeDocument/2006/relationships/hyperlink" Target="http://plants.usda.gov/java/profile?symbol=ALTR3" TargetMode="External"/><Relationship Id="rId17" Type="http://schemas.openxmlformats.org/officeDocument/2006/relationships/hyperlink" Target="http://plants.usda.gov/java/profile?symbol=ANPL" TargetMode="External"/><Relationship Id="rId25" Type="http://schemas.openxmlformats.org/officeDocument/2006/relationships/hyperlink" Target="http://plants.usda.gov/java/profile?symbol=ASCA" TargetMode="External"/><Relationship Id="rId33" Type="http://schemas.openxmlformats.org/officeDocument/2006/relationships/hyperlink" Target="http://plants.usda.gov/java/profile?symbol=SYOO" TargetMode="External"/><Relationship Id="rId38" Type="http://schemas.openxmlformats.org/officeDocument/2006/relationships/hyperlink" Target="http://plants.usda.gov/java/profile?symbol=SYPR5" TargetMode="External"/><Relationship Id="rId46" Type="http://schemas.openxmlformats.org/officeDocument/2006/relationships/hyperlink" Target="http://plants.usda.gov/java/profile?symbol=BAAL" TargetMode="External"/><Relationship Id="rId59" Type="http://schemas.openxmlformats.org/officeDocument/2006/relationships/hyperlink" Target="http://plants.usda.gov/java/profile?symbol=MOPU" TargetMode="External"/><Relationship Id="rId67" Type="http://schemas.openxmlformats.org/officeDocument/2006/relationships/hyperlink" Target="http://plants.usda.gov/java/profile?symbol=PEPA7" TargetMode="External"/><Relationship Id="rId20" Type="http://schemas.openxmlformats.org/officeDocument/2006/relationships/hyperlink" Target="http://plants.usda.gov/java/profile?symbol=ARHI" TargetMode="External"/><Relationship Id="rId41" Type="http://schemas.openxmlformats.org/officeDocument/2006/relationships/hyperlink" Target="http://plants.usda.gov/java/profile?symbol=SYSE2" TargetMode="External"/><Relationship Id="rId54" Type="http://schemas.openxmlformats.org/officeDocument/2006/relationships/hyperlink" Target="http://plants.usda.gov/java/profile?symbol=BREU" TargetMode="External"/><Relationship Id="rId62" Type="http://schemas.openxmlformats.org/officeDocument/2006/relationships/hyperlink" Target="http://plants.usda.gov/java/profile?symbol=OERH" TargetMode="External"/><Relationship Id="rId70" Type="http://schemas.openxmlformats.org/officeDocument/2006/relationships/hyperlink" Target="http://plants.usda.gov/java/profile?symbol=DAPU5" TargetMode="External"/><Relationship Id="rId75" Type="http://schemas.openxmlformats.org/officeDocument/2006/relationships/hyperlink" Target="http://plants.usda.gov/java/profile?symbol=POVI2" TargetMode="External"/><Relationship Id="rId83" Type="http://schemas.openxmlformats.org/officeDocument/2006/relationships/hyperlink" Target="http://plants.usda.gov/java/profile?symbol=SILA3" TargetMode="External"/><Relationship Id="rId88" Type="http://schemas.openxmlformats.org/officeDocument/2006/relationships/hyperlink" Target="http://plants.usda.gov/java/profile?symbol=SOSC" TargetMode="External"/><Relationship Id="rId91" Type="http://schemas.openxmlformats.org/officeDocument/2006/relationships/hyperlink" Target="http://plants.usda.gov/java/profile?symbol=OLAL2" TargetMode="External"/><Relationship Id="rId1" Type="http://schemas.openxmlformats.org/officeDocument/2006/relationships/hyperlink" Target="http://plants.usda.gov/java/profile?symbol=ACMIO" TargetMode="External"/><Relationship Id="rId6" Type="http://schemas.openxmlformats.org/officeDocument/2006/relationships/hyperlink" Target="http://plants.usda.gov/java/profile?symbol=AGFO" TargetMode="External"/><Relationship Id="rId15" Type="http://schemas.openxmlformats.org/officeDocument/2006/relationships/hyperlink" Target="http://plants.usda.gov/java/profile?symbol=ANVI3" TargetMode="External"/><Relationship Id="rId23" Type="http://schemas.openxmlformats.org/officeDocument/2006/relationships/hyperlink" Target="http://plants.usda.gov/java/profile?symbol=ARCA12" TargetMode="External"/><Relationship Id="rId28" Type="http://schemas.openxmlformats.org/officeDocument/2006/relationships/hyperlink" Target="http://plants.usda.gov/java/profile?symbol=ASIN" TargetMode="External"/><Relationship Id="rId36" Type="http://schemas.openxmlformats.org/officeDocument/2006/relationships/hyperlink" Target="http://plants.usda.gov/java/profile?symbol=SYOB" TargetMode="External"/><Relationship Id="rId49" Type="http://schemas.openxmlformats.org/officeDocument/2006/relationships/hyperlink" Target="http://plants.usda.gov/java/profile?symbol=BICE" TargetMode="External"/><Relationship Id="rId57" Type="http://schemas.openxmlformats.org/officeDocument/2006/relationships/hyperlink" Target="http://plants.usda.gov/java/profile?symbol=ARRE6" TargetMode="External"/><Relationship Id="rId10" Type="http://schemas.openxmlformats.org/officeDocument/2006/relationships/hyperlink" Target="http://plants.usda.gov/java/profile?symbol=ALCA3" TargetMode="External"/><Relationship Id="rId31" Type="http://schemas.openxmlformats.org/officeDocument/2006/relationships/hyperlink" Target="http://plants.usda.gov/java/profile?symbol=ASTU" TargetMode="External"/><Relationship Id="rId44" Type="http://schemas.openxmlformats.org/officeDocument/2006/relationships/hyperlink" Target="http://plants.usda.gov/java/profile?symbol=ASCR2" TargetMode="External"/><Relationship Id="rId52" Type="http://schemas.openxmlformats.org/officeDocument/2006/relationships/hyperlink" Target="http://plants.usda.gov/java/profile?symbol=BLHI" TargetMode="External"/><Relationship Id="rId60" Type="http://schemas.openxmlformats.org/officeDocument/2006/relationships/hyperlink" Target="http://plants.usda.gov/java/profile?symbol=OEBI" TargetMode="External"/><Relationship Id="rId65" Type="http://schemas.openxmlformats.org/officeDocument/2006/relationships/hyperlink" Target="http://plants.usda.gov/java/profile?symbol=PEDI" TargetMode="External"/><Relationship Id="rId73" Type="http://schemas.openxmlformats.org/officeDocument/2006/relationships/hyperlink" Target="http://plants.usda.gov/java/profile?symbol=PHPI" TargetMode="External"/><Relationship Id="rId78" Type="http://schemas.openxmlformats.org/officeDocument/2006/relationships/hyperlink" Target="http://plants.usda.gov/java/profile?symbol=PEES" TargetMode="External"/><Relationship Id="rId81" Type="http://schemas.openxmlformats.org/officeDocument/2006/relationships/hyperlink" Target="http://plants.usda.gov/java/profile?symbol=SIST" TargetMode="External"/><Relationship Id="rId86" Type="http://schemas.openxmlformats.org/officeDocument/2006/relationships/hyperlink" Target="http://plants.usda.gov/java/profile?symbol=OLRI2" TargetMode="External"/><Relationship Id="rId94" Type="http://schemas.openxmlformats.org/officeDocument/2006/relationships/hyperlink" Target="http://plants.usda.gov/java/profile?symbol=RUST2" TargetMode="External"/><Relationship Id="rId4" Type="http://schemas.openxmlformats.org/officeDocument/2006/relationships/hyperlink" Target="http://plants.usda.gov/java/profile?symbol=ACRU2" TargetMode="External"/><Relationship Id="rId9" Type="http://schemas.openxmlformats.org/officeDocument/2006/relationships/hyperlink" Target="http://plants.usda.gov/java/profile?symbol=AGAL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plants.usda.gov/java/profile?symbol=RHAR4" TargetMode="External"/><Relationship Id="rId7" Type="http://schemas.openxmlformats.org/officeDocument/2006/relationships/printerSettings" Target="../printerSettings/printerSettings6.bin"/><Relationship Id="rId2" Type="http://schemas.openxmlformats.org/officeDocument/2006/relationships/hyperlink" Target="http://plants.usda.gov/java/profile?symbol=AMST80" TargetMode="External"/><Relationship Id="rId1" Type="http://schemas.openxmlformats.org/officeDocument/2006/relationships/hyperlink" Target="http://plants.usda.gov/java/profile?symbol=OPHU" TargetMode="External"/><Relationship Id="rId6" Type="http://schemas.openxmlformats.org/officeDocument/2006/relationships/hyperlink" Target="http://plants.usda.gov/java/profile?symbol=VIRI" TargetMode="External"/><Relationship Id="rId5" Type="http://schemas.openxmlformats.org/officeDocument/2006/relationships/hyperlink" Target="http://plants.usda.gov/java/profile?symbol=SYOR" TargetMode="External"/><Relationship Id="rId4" Type="http://schemas.openxmlformats.org/officeDocument/2006/relationships/hyperlink" Target="http://plants.usda.gov/java/profile?symbol=SMLA3"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plants.usda.gov/java/profile?symbol=CABE2" TargetMode="External"/><Relationship Id="rId117" Type="http://schemas.openxmlformats.org/officeDocument/2006/relationships/hyperlink" Target="http://plants.usda.gov/java/profile?symbol=BLHI" TargetMode="External"/><Relationship Id="rId21" Type="http://schemas.openxmlformats.org/officeDocument/2006/relationships/hyperlink" Target="http://plants.usda.gov/java/profile?symbol=CAGR5" TargetMode="External"/><Relationship Id="rId42" Type="http://schemas.openxmlformats.org/officeDocument/2006/relationships/hyperlink" Target="http://plants.usda.gov/java/profile?symbol=ELHY" TargetMode="External"/><Relationship Id="rId47" Type="http://schemas.openxmlformats.org/officeDocument/2006/relationships/hyperlink" Target="http://plants.usda.gov/java/profile?symbol=CASC11" TargetMode="External"/><Relationship Id="rId63" Type="http://schemas.openxmlformats.org/officeDocument/2006/relationships/hyperlink" Target="http://plants.usda.gov/java/profile?symbol=CATY" TargetMode="External"/><Relationship Id="rId68" Type="http://schemas.openxmlformats.org/officeDocument/2006/relationships/hyperlink" Target="http://plants.usda.gov/java/profile?symbol=ACPA" TargetMode="External"/><Relationship Id="rId84" Type="http://schemas.openxmlformats.org/officeDocument/2006/relationships/hyperlink" Target="http://plants.usda.gov/java/profile?symbol=ARGL" TargetMode="External"/><Relationship Id="rId89" Type="http://schemas.openxmlformats.org/officeDocument/2006/relationships/hyperlink" Target="http://plants.usda.gov/java/profile?symbol=ARLU" TargetMode="External"/><Relationship Id="rId112" Type="http://schemas.openxmlformats.org/officeDocument/2006/relationships/hyperlink" Target="http://plants.usda.gov/java/profile?symbol=BATI" TargetMode="External"/><Relationship Id="rId133" Type="http://schemas.openxmlformats.org/officeDocument/2006/relationships/hyperlink" Target="http://plants.usda.gov/java/profile?symbol=PETU" TargetMode="External"/><Relationship Id="rId138" Type="http://schemas.openxmlformats.org/officeDocument/2006/relationships/hyperlink" Target="http://plants.usda.gov/java/profile?symbol=PHPI" TargetMode="External"/><Relationship Id="rId154" Type="http://schemas.openxmlformats.org/officeDocument/2006/relationships/hyperlink" Target="http://plants.usda.gov/java/profile?symbol=SOSP2" TargetMode="External"/><Relationship Id="rId159" Type="http://schemas.openxmlformats.org/officeDocument/2006/relationships/hyperlink" Target="http://plants.usda.gov/java/profile?symbol=RUST2" TargetMode="External"/><Relationship Id="rId16" Type="http://schemas.openxmlformats.org/officeDocument/2006/relationships/hyperlink" Target="http://plants.usda.gov/java/profile?symbol=CATR7" TargetMode="External"/><Relationship Id="rId107" Type="http://schemas.openxmlformats.org/officeDocument/2006/relationships/hyperlink" Target="http://plants.usda.gov/java/profile?symbol=SYSH" TargetMode="External"/><Relationship Id="rId11" Type="http://schemas.openxmlformats.org/officeDocument/2006/relationships/hyperlink" Target="http://plants.usda.gov/java/profile?symbol=SCPU10" TargetMode="External"/><Relationship Id="rId32" Type="http://schemas.openxmlformats.org/officeDocument/2006/relationships/hyperlink" Target="http://plants.usda.gov/java/profile?symbol=BESY" TargetMode="External"/><Relationship Id="rId37" Type="http://schemas.openxmlformats.org/officeDocument/2006/relationships/hyperlink" Target="http://plants.usda.gov/java/profile?symbol=ELOB2" TargetMode="External"/><Relationship Id="rId53" Type="http://schemas.openxmlformats.org/officeDocument/2006/relationships/hyperlink" Target="http://plants.usda.gov/java/profile?symbol=CACR6" TargetMode="External"/><Relationship Id="rId58" Type="http://schemas.openxmlformats.org/officeDocument/2006/relationships/hyperlink" Target="http://plants.usda.gov/java/profile?symbol=BOGR2" TargetMode="External"/><Relationship Id="rId74" Type="http://schemas.openxmlformats.org/officeDocument/2006/relationships/hyperlink" Target="http://plants.usda.gov/java/profile?symbol=AGAL5" TargetMode="External"/><Relationship Id="rId79" Type="http://schemas.openxmlformats.org/officeDocument/2006/relationships/hyperlink" Target="http://plants.usda.gov/java/profile?symbol=ANCY" TargetMode="External"/><Relationship Id="rId102" Type="http://schemas.openxmlformats.org/officeDocument/2006/relationships/hyperlink" Target="http://plants.usda.gov/java/profile?symbol=SYPI2" TargetMode="External"/><Relationship Id="rId123" Type="http://schemas.openxmlformats.org/officeDocument/2006/relationships/hyperlink" Target="http://plants.usda.gov/java/profile?symbol=MOFI" TargetMode="External"/><Relationship Id="rId128" Type="http://schemas.openxmlformats.org/officeDocument/2006/relationships/hyperlink" Target="http://plants.usda.gov/java/profile?symbol=ONBE" TargetMode="External"/><Relationship Id="rId144" Type="http://schemas.openxmlformats.org/officeDocument/2006/relationships/hyperlink" Target="http://plants.usda.gov/java/profile?symbol=ORON" TargetMode="External"/><Relationship Id="rId149" Type="http://schemas.openxmlformats.org/officeDocument/2006/relationships/hyperlink" Target="http://plants.usda.gov/java/profile?symbol=SIPE2" TargetMode="External"/><Relationship Id="rId5" Type="http://schemas.openxmlformats.org/officeDocument/2006/relationships/hyperlink" Target="http://plants.usda.gov/java/profile?symbol=HOJU" TargetMode="External"/><Relationship Id="rId90" Type="http://schemas.openxmlformats.org/officeDocument/2006/relationships/hyperlink" Target="http://plants.usda.gov/java/profile?symbol=ASCA" TargetMode="External"/><Relationship Id="rId95" Type="http://schemas.openxmlformats.org/officeDocument/2006/relationships/hyperlink" Target="http://plants.usda.gov/java/profile?symbol=ASSU3" TargetMode="External"/><Relationship Id="rId160" Type="http://schemas.openxmlformats.org/officeDocument/2006/relationships/hyperlink" Target="http://plants.usda.gov/java/profile?symbol=OPHU" TargetMode="External"/><Relationship Id="rId165" Type="http://schemas.openxmlformats.org/officeDocument/2006/relationships/hyperlink" Target="http://plants.usda.gov/java/profile?symbol=VIRI" TargetMode="External"/><Relationship Id="rId22" Type="http://schemas.openxmlformats.org/officeDocument/2006/relationships/hyperlink" Target="http://plants.usda.gov/java/profile?symbol=CAFR3" TargetMode="External"/><Relationship Id="rId27" Type="http://schemas.openxmlformats.org/officeDocument/2006/relationships/hyperlink" Target="http://plants.usda.gov/java/profile?symbol=CACA4" TargetMode="External"/><Relationship Id="rId43" Type="http://schemas.openxmlformats.org/officeDocument/2006/relationships/hyperlink" Target="http://plants.usda.gov/java/profile?symbol=JUARL" TargetMode="External"/><Relationship Id="rId48" Type="http://schemas.openxmlformats.org/officeDocument/2006/relationships/hyperlink" Target="http://plants.usda.gov/java/profile?symbol=CAHY4" TargetMode="External"/><Relationship Id="rId64" Type="http://schemas.openxmlformats.org/officeDocument/2006/relationships/hyperlink" Target="http://plants.usda.gov/java/profile?symbol=DIAM" TargetMode="External"/><Relationship Id="rId69" Type="http://schemas.openxmlformats.org/officeDocument/2006/relationships/hyperlink" Target="http://plants.usda.gov/java/profile?symbol=ACRU2" TargetMode="External"/><Relationship Id="rId113" Type="http://schemas.openxmlformats.org/officeDocument/2006/relationships/hyperlink" Target="http://plants.usda.gov/java/profile?symbol=BIAR" TargetMode="External"/><Relationship Id="rId118" Type="http://schemas.openxmlformats.org/officeDocument/2006/relationships/hyperlink" Target="http://plants.usda.gov/java/profile?symbol=BOAS" TargetMode="External"/><Relationship Id="rId134" Type="http://schemas.openxmlformats.org/officeDocument/2006/relationships/hyperlink" Target="http://plants.usda.gov/java/profile?symbol=DACA7" TargetMode="External"/><Relationship Id="rId139" Type="http://schemas.openxmlformats.org/officeDocument/2006/relationships/hyperlink" Target="http://plants.usda.gov/java/profile?symbol=POPE" TargetMode="External"/><Relationship Id="rId80" Type="http://schemas.openxmlformats.org/officeDocument/2006/relationships/hyperlink" Target="http://plants.usda.gov/java/profile?symbol=ANVI3" TargetMode="External"/><Relationship Id="rId85" Type="http://schemas.openxmlformats.org/officeDocument/2006/relationships/hyperlink" Target="http://plants.usda.gov/java/profile?symbol=ARHI" TargetMode="External"/><Relationship Id="rId150" Type="http://schemas.openxmlformats.org/officeDocument/2006/relationships/hyperlink" Target="http://plants.usda.gov/java/profile?symbol=SITE" TargetMode="External"/><Relationship Id="rId155" Type="http://schemas.openxmlformats.org/officeDocument/2006/relationships/hyperlink" Target="http://plants.usda.gov/java/profile?symbol=SOUL2" TargetMode="External"/><Relationship Id="rId12" Type="http://schemas.openxmlformats.org/officeDocument/2006/relationships/hyperlink" Target="http://plants.usda.gov/java/profile?symbol=TRDA3" TargetMode="External"/><Relationship Id="rId17" Type="http://schemas.openxmlformats.org/officeDocument/2006/relationships/hyperlink" Target="http://plants.usda.gov/java/profile?symbol=CAST16" TargetMode="External"/><Relationship Id="rId33" Type="http://schemas.openxmlformats.org/officeDocument/2006/relationships/hyperlink" Target="http://plants.usda.gov/java/profile?symbol=CAGR2" TargetMode="External"/><Relationship Id="rId38" Type="http://schemas.openxmlformats.org/officeDocument/2006/relationships/hyperlink" Target="http://plants.usda.gov/java/profile?symbol=JUCA3" TargetMode="External"/><Relationship Id="rId59" Type="http://schemas.openxmlformats.org/officeDocument/2006/relationships/hyperlink" Target="http://plants.usda.gov/java/profile?symbol=ANGE" TargetMode="External"/><Relationship Id="rId103" Type="http://schemas.openxmlformats.org/officeDocument/2006/relationships/hyperlink" Target="http://plants.usda.gov/java/profile?symbol=SYPR5" TargetMode="External"/><Relationship Id="rId108" Type="http://schemas.openxmlformats.org/officeDocument/2006/relationships/hyperlink" Target="http://plants.usda.gov/java/profile?symbol=ASCA11" TargetMode="External"/><Relationship Id="rId124" Type="http://schemas.openxmlformats.org/officeDocument/2006/relationships/hyperlink" Target="http://plants.usda.gov/java/profile?symbol=MOPU" TargetMode="External"/><Relationship Id="rId129" Type="http://schemas.openxmlformats.org/officeDocument/2006/relationships/hyperlink" Target="http://plants.usda.gov/java/profile?symbol=PECO4" TargetMode="External"/><Relationship Id="rId54" Type="http://schemas.openxmlformats.org/officeDocument/2006/relationships/hyperlink" Target="http://plants.usda.gov/java/profile?symbol=CABE2" TargetMode="External"/><Relationship Id="rId70" Type="http://schemas.openxmlformats.org/officeDocument/2006/relationships/hyperlink" Target="http://plants.usda.gov/java/profile?symbol=AGTE3" TargetMode="External"/><Relationship Id="rId75" Type="http://schemas.openxmlformats.org/officeDocument/2006/relationships/hyperlink" Target="http://plants.usda.gov/java/profile?symbol=ALCA3" TargetMode="External"/><Relationship Id="rId91" Type="http://schemas.openxmlformats.org/officeDocument/2006/relationships/hyperlink" Target="http://plants.usda.gov/java/profile?symbol=ASEX" TargetMode="External"/><Relationship Id="rId96" Type="http://schemas.openxmlformats.org/officeDocument/2006/relationships/hyperlink" Target="http://plants.usda.gov/java/profile?symbol=ASTU" TargetMode="External"/><Relationship Id="rId140" Type="http://schemas.openxmlformats.org/officeDocument/2006/relationships/hyperlink" Target="http://plants.usda.gov/java/profile?symbol=POVI2" TargetMode="External"/><Relationship Id="rId145" Type="http://schemas.openxmlformats.org/officeDocument/2006/relationships/hyperlink" Target="http://plants.usda.gov/java/profile?symbol=SINI" TargetMode="External"/><Relationship Id="rId161" Type="http://schemas.openxmlformats.org/officeDocument/2006/relationships/hyperlink" Target="http://plants.usda.gov/java/profile?symbol=AMST80" TargetMode="External"/><Relationship Id="rId166" Type="http://schemas.openxmlformats.org/officeDocument/2006/relationships/printerSettings" Target="../printerSettings/printerSettings7.bin"/><Relationship Id="rId1" Type="http://schemas.openxmlformats.org/officeDocument/2006/relationships/hyperlink" Target="http://plants.usda.gov/java/profile?symbol=ELPA3" TargetMode="External"/><Relationship Id="rId6" Type="http://schemas.openxmlformats.org/officeDocument/2006/relationships/hyperlink" Target="http://plants.usda.gov/java/profile?symbol=ELHY" TargetMode="External"/><Relationship Id="rId15" Type="http://schemas.openxmlformats.org/officeDocument/2006/relationships/hyperlink" Target="http://plants.usda.gov/java/profile?symbol=CAVE6" TargetMode="External"/><Relationship Id="rId23" Type="http://schemas.openxmlformats.org/officeDocument/2006/relationships/hyperlink" Target="http://plants.usda.gov/java/profile?symbol=CACR7" TargetMode="External"/><Relationship Id="rId28" Type="http://schemas.openxmlformats.org/officeDocument/2006/relationships/hyperlink" Target="http://plants.usda.gov/java/profile?symbol=BRKA2" TargetMode="External"/><Relationship Id="rId36" Type="http://schemas.openxmlformats.org/officeDocument/2006/relationships/hyperlink" Target="http://plants.usda.gov/java/profile?symbol=DIAM" TargetMode="External"/><Relationship Id="rId49" Type="http://schemas.openxmlformats.org/officeDocument/2006/relationships/hyperlink" Target="http://plants.usda.gov/java/profile?symbol=CAHI6" TargetMode="External"/><Relationship Id="rId57" Type="http://schemas.openxmlformats.org/officeDocument/2006/relationships/hyperlink" Target="http://plants.usda.gov/java/profile?symbol=BRCI2" TargetMode="External"/><Relationship Id="rId106" Type="http://schemas.openxmlformats.org/officeDocument/2006/relationships/hyperlink" Target="http://plants.usda.gov/java/profile?symbol=SYSE2" TargetMode="External"/><Relationship Id="rId114" Type="http://schemas.openxmlformats.org/officeDocument/2006/relationships/hyperlink" Target="http://plants.usda.gov/java/profile?symbol=BICE" TargetMode="External"/><Relationship Id="rId119" Type="http://schemas.openxmlformats.org/officeDocument/2006/relationships/hyperlink" Target="http://plants.usda.gov/java/profile?symbol=BREU" TargetMode="External"/><Relationship Id="rId127" Type="http://schemas.openxmlformats.org/officeDocument/2006/relationships/hyperlink" Target="http://plants.usda.gov/java/profile?symbol=OERH" TargetMode="External"/><Relationship Id="rId10" Type="http://schemas.openxmlformats.org/officeDocument/2006/relationships/hyperlink" Target="http://plants.usda.gov/java/profile?symbol=POPA2" TargetMode="External"/><Relationship Id="rId31" Type="http://schemas.openxmlformats.org/officeDocument/2006/relationships/hyperlink" Target="http://plants.usda.gov/java/profile?symbol=ANGE" TargetMode="External"/><Relationship Id="rId44" Type="http://schemas.openxmlformats.org/officeDocument/2006/relationships/hyperlink" Target="http://plants.usda.gov/java/profile?symbol=CAVE6" TargetMode="External"/><Relationship Id="rId52" Type="http://schemas.openxmlformats.org/officeDocument/2006/relationships/hyperlink" Target="http://plants.usda.gov/java/profile?symbol=CACR7" TargetMode="External"/><Relationship Id="rId60" Type="http://schemas.openxmlformats.org/officeDocument/2006/relationships/hyperlink" Target="http://plants.usda.gov/java/profile?symbol=BESY" TargetMode="External"/><Relationship Id="rId65" Type="http://schemas.openxmlformats.org/officeDocument/2006/relationships/hyperlink" Target="http://plants.usda.gov/java/profile?symbol=JUCA3" TargetMode="External"/><Relationship Id="rId73" Type="http://schemas.openxmlformats.org/officeDocument/2006/relationships/hyperlink" Target="http://plants.usda.gov/java/profile?symbol=AGSC" TargetMode="External"/><Relationship Id="rId78" Type="http://schemas.openxmlformats.org/officeDocument/2006/relationships/hyperlink" Target="http://plants.usda.gov/java/profile?symbol=ANCA8" TargetMode="External"/><Relationship Id="rId81" Type="http://schemas.openxmlformats.org/officeDocument/2006/relationships/hyperlink" Target="http://plants.usda.gov/java/profile?symbol=ANAT" TargetMode="External"/><Relationship Id="rId86" Type="http://schemas.openxmlformats.org/officeDocument/2006/relationships/hyperlink" Target="http://plants.usda.gov/java/profile?symbol=ARTR" TargetMode="External"/><Relationship Id="rId94" Type="http://schemas.openxmlformats.org/officeDocument/2006/relationships/hyperlink" Target="http://plants.usda.gov/java/profile?symbol=ASPU2" TargetMode="External"/><Relationship Id="rId99" Type="http://schemas.openxmlformats.org/officeDocument/2006/relationships/hyperlink" Target="http://plants.usda.gov/java/profile?symbol=SYER" TargetMode="External"/><Relationship Id="rId101" Type="http://schemas.openxmlformats.org/officeDocument/2006/relationships/hyperlink" Target="http://plants.usda.gov/java/profile?symbol=SYOB" TargetMode="External"/><Relationship Id="rId122" Type="http://schemas.openxmlformats.org/officeDocument/2006/relationships/hyperlink" Target="http://plants.usda.gov/java/profile?symbol=ARRE6" TargetMode="External"/><Relationship Id="rId130" Type="http://schemas.openxmlformats.org/officeDocument/2006/relationships/hyperlink" Target="http://plants.usda.gov/java/profile?symbol=PEDI" TargetMode="External"/><Relationship Id="rId135" Type="http://schemas.openxmlformats.org/officeDocument/2006/relationships/hyperlink" Target="http://plants.usda.gov/java/profile?symbol=DAPU5" TargetMode="External"/><Relationship Id="rId143" Type="http://schemas.openxmlformats.org/officeDocument/2006/relationships/hyperlink" Target="http://plants.usda.gov/java/profile?symbol=PEES" TargetMode="External"/><Relationship Id="rId148" Type="http://schemas.openxmlformats.org/officeDocument/2006/relationships/hyperlink" Target="http://plants.usda.gov/java/profile?symbol=SILA3" TargetMode="External"/><Relationship Id="rId151" Type="http://schemas.openxmlformats.org/officeDocument/2006/relationships/hyperlink" Target="http://plants.usda.gov/java/profile?symbol=OLRI2" TargetMode="External"/><Relationship Id="rId156" Type="http://schemas.openxmlformats.org/officeDocument/2006/relationships/hyperlink" Target="http://plants.usda.gov/java/profile?symbol=OLAL2" TargetMode="External"/><Relationship Id="rId164" Type="http://schemas.openxmlformats.org/officeDocument/2006/relationships/hyperlink" Target="http://plants.usda.gov/java/profile?symbol=SYOR" TargetMode="External"/><Relationship Id="rId4" Type="http://schemas.openxmlformats.org/officeDocument/2006/relationships/hyperlink" Target="http://plants.usda.gov/java/profile?symbol=GLST" TargetMode="External"/><Relationship Id="rId9" Type="http://schemas.openxmlformats.org/officeDocument/2006/relationships/hyperlink" Target="http://plants.usda.gov/java/profile?symbol=JUEF" TargetMode="External"/><Relationship Id="rId13" Type="http://schemas.openxmlformats.org/officeDocument/2006/relationships/hyperlink" Target="http://plants.usda.gov/java/profile?symbol=CYLU2" TargetMode="External"/><Relationship Id="rId18" Type="http://schemas.openxmlformats.org/officeDocument/2006/relationships/hyperlink" Target="http://plants.usda.gov/java/profile?symbol=CASC11" TargetMode="External"/><Relationship Id="rId39" Type="http://schemas.openxmlformats.org/officeDocument/2006/relationships/hyperlink" Target="http://plants.usda.gov/java/profile?symbol=ELPA3" TargetMode="External"/><Relationship Id="rId109" Type="http://schemas.openxmlformats.org/officeDocument/2006/relationships/hyperlink" Target="http://plants.usda.gov/java/profile?symbol=ASCR2" TargetMode="External"/><Relationship Id="rId34" Type="http://schemas.openxmlformats.org/officeDocument/2006/relationships/hyperlink" Target="http://plants.usda.gov/java/profile?symbol=CASP3" TargetMode="External"/><Relationship Id="rId50" Type="http://schemas.openxmlformats.org/officeDocument/2006/relationships/hyperlink" Target="http://plants.usda.gov/java/profile?symbol=CAGR5" TargetMode="External"/><Relationship Id="rId55" Type="http://schemas.openxmlformats.org/officeDocument/2006/relationships/hyperlink" Target="http://plants.usda.gov/java/profile?symbol=CACA4" TargetMode="External"/><Relationship Id="rId76" Type="http://schemas.openxmlformats.org/officeDocument/2006/relationships/hyperlink" Target="http://plants.usda.gov/java/profile?symbol=ALST" TargetMode="External"/><Relationship Id="rId97" Type="http://schemas.openxmlformats.org/officeDocument/2006/relationships/hyperlink" Target="http://plants.usda.gov/java/profile?symbol=ASVE" TargetMode="External"/><Relationship Id="rId104" Type="http://schemas.openxmlformats.org/officeDocument/2006/relationships/hyperlink" Target="http://plants.usda.gov/java/profile?symbol=SYPR6" TargetMode="External"/><Relationship Id="rId120" Type="http://schemas.openxmlformats.org/officeDocument/2006/relationships/hyperlink" Target="http://plants.usda.gov/java/profile?symbol=ARPL4" TargetMode="External"/><Relationship Id="rId125" Type="http://schemas.openxmlformats.org/officeDocument/2006/relationships/hyperlink" Target="http://plants.usda.gov/java/profile?symbol=OEBI" TargetMode="External"/><Relationship Id="rId141" Type="http://schemas.openxmlformats.org/officeDocument/2006/relationships/hyperlink" Target="http://plants.usda.gov/java/profile?symbol=POPE2" TargetMode="External"/><Relationship Id="rId146" Type="http://schemas.openxmlformats.org/officeDocument/2006/relationships/hyperlink" Target="http://plants.usda.gov/java/profile?symbol=SIST" TargetMode="External"/><Relationship Id="rId167" Type="http://schemas.openxmlformats.org/officeDocument/2006/relationships/vmlDrawing" Target="../drawings/vmlDrawing3.vml"/><Relationship Id="rId7" Type="http://schemas.openxmlformats.org/officeDocument/2006/relationships/hyperlink" Target="http://plants.usda.gov/java/profile?symbol=JUARL" TargetMode="External"/><Relationship Id="rId71" Type="http://schemas.openxmlformats.org/officeDocument/2006/relationships/hyperlink" Target="http://plants.usda.gov/java/profile?symbol=AGFO" TargetMode="External"/><Relationship Id="rId92" Type="http://schemas.openxmlformats.org/officeDocument/2006/relationships/hyperlink" Target="http://plants.usda.gov/java/profile?symbol=ASHI" TargetMode="External"/><Relationship Id="rId162" Type="http://schemas.openxmlformats.org/officeDocument/2006/relationships/hyperlink" Target="http://plants.usda.gov/java/profile?symbol=RHAR4" TargetMode="External"/><Relationship Id="rId2" Type="http://schemas.openxmlformats.org/officeDocument/2006/relationships/hyperlink" Target="http://plants.usda.gov/java/profile?symbol=ELCA4" TargetMode="External"/><Relationship Id="rId29" Type="http://schemas.openxmlformats.org/officeDocument/2006/relationships/hyperlink" Target="http://plants.usda.gov/java/profile?symbol=BRCI2" TargetMode="External"/><Relationship Id="rId24" Type="http://schemas.openxmlformats.org/officeDocument/2006/relationships/hyperlink" Target="http://plants.usda.gov/java/profile?symbol=CACR6" TargetMode="External"/><Relationship Id="rId40" Type="http://schemas.openxmlformats.org/officeDocument/2006/relationships/hyperlink" Target="http://plants.usda.gov/java/profile?symbol=GLST" TargetMode="External"/><Relationship Id="rId45" Type="http://schemas.openxmlformats.org/officeDocument/2006/relationships/hyperlink" Target="http://plants.usda.gov/java/profile?symbol=CATR7" TargetMode="External"/><Relationship Id="rId66" Type="http://schemas.openxmlformats.org/officeDocument/2006/relationships/hyperlink" Target="http://plants.usda.gov/java/profile?symbol=ACMIO" TargetMode="External"/><Relationship Id="rId87" Type="http://schemas.openxmlformats.org/officeDocument/2006/relationships/hyperlink" Target="http://plants.usda.gov/java/profile?symbol=ARAT" TargetMode="External"/><Relationship Id="rId110" Type="http://schemas.openxmlformats.org/officeDocument/2006/relationships/hyperlink" Target="http://plants.usda.gov/java/profile?symbol=BAAU" TargetMode="External"/><Relationship Id="rId115" Type="http://schemas.openxmlformats.org/officeDocument/2006/relationships/hyperlink" Target="http://plants.usda.gov/java/profile?symbol=BICO5" TargetMode="External"/><Relationship Id="rId131" Type="http://schemas.openxmlformats.org/officeDocument/2006/relationships/hyperlink" Target="http://plants.usda.gov/java/profile?symbol=PEGR7" TargetMode="External"/><Relationship Id="rId136" Type="http://schemas.openxmlformats.org/officeDocument/2006/relationships/hyperlink" Target="http://plants.usda.gov/java/profile?symbol=PHDI5" TargetMode="External"/><Relationship Id="rId157" Type="http://schemas.openxmlformats.org/officeDocument/2006/relationships/hyperlink" Target="http://plants.usda.gov/java/profile?symbol=VIPUP2" TargetMode="External"/><Relationship Id="rId61" Type="http://schemas.openxmlformats.org/officeDocument/2006/relationships/hyperlink" Target="http://plants.usda.gov/java/profile?symbol=CAGR2" TargetMode="External"/><Relationship Id="rId82" Type="http://schemas.openxmlformats.org/officeDocument/2006/relationships/hyperlink" Target="http://plants.usda.gov/java/profile?symbol=ANPL" TargetMode="External"/><Relationship Id="rId152" Type="http://schemas.openxmlformats.org/officeDocument/2006/relationships/hyperlink" Target="http://plants.usda.gov/java/profile?symbol=OLRIH" TargetMode="External"/><Relationship Id="rId19" Type="http://schemas.openxmlformats.org/officeDocument/2006/relationships/hyperlink" Target="http://plants.usda.gov/java/profile?symbol=CAHY4" TargetMode="External"/><Relationship Id="rId14" Type="http://schemas.openxmlformats.org/officeDocument/2006/relationships/hyperlink" Target="http://plants.usda.gov/java/profile?symbol=CAVU2" TargetMode="External"/><Relationship Id="rId30" Type="http://schemas.openxmlformats.org/officeDocument/2006/relationships/hyperlink" Target="http://plants.usda.gov/java/profile?symbol=BOGR2" TargetMode="External"/><Relationship Id="rId35" Type="http://schemas.openxmlformats.org/officeDocument/2006/relationships/hyperlink" Target="http://plants.usda.gov/java/profile?symbol=CATY" TargetMode="External"/><Relationship Id="rId56" Type="http://schemas.openxmlformats.org/officeDocument/2006/relationships/hyperlink" Target="http://plants.usda.gov/java/profile?symbol=BRKA2" TargetMode="External"/><Relationship Id="rId77" Type="http://schemas.openxmlformats.org/officeDocument/2006/relationships/hyperlink" Target="http://plants.usda.gov/java/profile?symbol=ALTR3" TargetMode="External"/><Relationship Id="rId100" Type="http://schemas.openxmlformats.org/officeDocument/2006/relationships/hyperlink" Target="http://plants.usda.gov/java/profile?symbol=SYLA3" TargetMode="External"/><Relationship Id="rId105" Type="http://schemas.openxmlformats.org/officeDocument/2006/relationships/hyperlink" Target="http://plants.usda.gov/java/profile?symbol=SYUR" TargetMode="External"/><Relationship Id="rId126" Type="http://schemas.openxmlformats.org/officeDocument/2006/relationships/hyperlink" Target="http://plants.usda.gov/java/profile?symbol=OEPI2" TargetMode="External"/><Relationship Id="rId147" Type="http://schemas.openxmlformats.org/officeDocument/2006/relationships/hyperlink" Target="http://plants.usda.gov/java/profile?symbol=SIIN2" TargetMode="External"/><Relationship Id="rId8" Type="http://schemas.openxmlformats.org/officeDocument/2006/relationships/hyperlink" Target="http://plants.usda.gov/java/profile?symbol=JUDU2" TargetMode="External"/><Relationship Id="rId51" Type="http://schemas.openxmlformats.org/officeDocument/2006/relationships/hyperlink" Target="http://plants.usda.gov/java/profile?symbol=CAFR3" TargetMode="External"/><Relationship Id="rId72" Type="http://schemas.openxmlformats.org/officeDocument/2006/relationships/hyperlink" Target="http://plants.usda.gov/java/profile?symbol=AGNE2" TargetMode="External"/><Relationship Id="rId93" Type="http://schemas.openxmlformats.org/officeDocument/2006/relationships/hyperlink" Target="http://plants.usda.gov/java/profile?symbol=ASIN" TargetMode="External"/><Relationship Id="rId98" Type="http://schemas.openxmlformats.org/officeDocument/2006/relationships/hyperlink" Target="http://plants.usda.gov/java/profile?symbol=SYOO" TargetMode="External"/><Relationship Id="rId121" Type="http://schemas.openxmlformats.org/officeDocument/2006/relationships/hyperlink" Target="http://plants.usda.gov/java/profile?symbol=CAIN2" TargetMode="External"/><Relationship Id="rId142" Type="http://schemas.openxmlformats.org/officeDocument/2006/relationships/hyperlink" Target="http://plants.usda.gov/java/profile?symbol=POPU5" TargetMode="External"/><Relationship Id="rId163" Type="http://schemas.openxmlformats.org/officeDocument/2006/relationships/hyperlink" Target="http://plants.usda.gov/java/profile?symbol=SMLA3" TargetMode="External"/><Relationship Id="rId3" Type="http://schemas.openxmlformats.org/officeDocument/2006/relationships/hyperlink" Target="http://plants.usda.gov/java/profile?symbol=GLGR" TargetMode="External"/><Relationship Id="rId25" Type="http://schemas.openxmlformats.org/officeDocument/2006/relationships/hyperlink" Target="http://plants.usda.gov/java/profile?symbol=CABI3" TargetMode="External"/><Relationship Id="rId46" Type="http://schemas.openxmlformats.org/officeDocument/2006/relationships/hyperlink" Target="http://plants.usda.gov/java/profile?symbol=CAST16" TargetMode="External"/><Relationship Id="rId67" Type="http://schemas.openxmlformats.org/officeDocument/2006/relationships/hyperlink" Target="http://plants.usda.gov/java/profile?symbol=ACCA4" TargetMode="External"/><Relationship Id="rId116" Type="http://schemas.openxmlformats.org/officeDocument/2006/relationships/hyperlink" Target="http://plants.usda.gov/java/profile?symbol=BIFR" TargetMode="External"/><Relationship Id="rId137" Type="http://schemas.openxmlformats.org/officeDocument/2006/relationships/hyperlink" Target="http://plants.usda.gov/java/profile?symbol=PHMA4" TargetMode="External"/><Relationship Id="rId158" Type="http://schemas.openxmlformats.org/officeDocument/2006/relationships/hyperlink" Target="http://plants.usda.gov/java/profile?symbol=BABR2" TargetMode="External"/><Relationship Id="rId20" Type="http://schemas.openxmlformats.org/officeDocument/2006/relationships/hyperlink" Target="http://plants.usda.gov/java/profile?symbol=CAHI6" TargetMode="External"/><Relationship Id="rId41" Type="http://schemas.openxmlformats.org/officeDocument/2006/relationships/hyperlink" Target="http://plants.usda.gov/java/profile?symbol=HOJU" TargetMode="External"/><Relationship Id="rId62" Type="http://schemas.openxmlformats.org/officeDocument/2006/relationships/hyperlink" Target="http://plants.usda.gov/java/profile?symbol=CASP3" TargetMode="External"/><Relationship Id="rId83" Type="http://schemas.openxmlformats.org/officeDocument/2006/relationships/hyperlink" Target="http://plants.usda.gov/java/profile?symbol=AQCA" TargetMode="External"/><Relationship Id="rId88" Type="http://schemas.openxmlformats.org/officeDocument/2006/relationships/hyperlink" Target="http://plants.usda.gov/java/profile?symbol=ARCA12" TargetMode="External"/><Relationship Id="rId111" Type="http://schemas.openxmlformats.org/officeDocument/2006/relationships/hyperlink" Target="http://plants.usda.gov/java/profile?symbol=BAAL" TargetMode="External"/><Relationship Id="rId132" Type="http://schemas.openxmlformats.org/officeDocument/2006/relationships/hyperlink" Target="http://plants.usda.gov/java/profile?symbol=PEPA7" TargetMode="External"/><Relationship Id="rId153" Type="http://schemas.openxmlformats.org/officeDocument/2006/relationships/hyperlink" Target="http://plants.usda.gov/java/profile?symbol=SOSC" TargetMode="External"/></Relationships>
</file>

<file path=xl/worksheets/_rels/sheet9.xml.rels><?xml version="1.0" encoding="UTF-8" standalone="yes"?>
<Relationships xmlns="http://schemas.openxmlformats.org/package/2006/relationships"><Relationship Id="rId1522" Type="http://schemas.openxmlformats.org/officeDocument/2006/relationships/hyperlink" Target="http://www.plants.usda.gov/java/profile?symbol=PHAM4" TargetMode="External"/><Relationship Id="rId1827" Type="http://schemas.openxmlformats.org/officeDocument/2006/relationships/hyperlink" Target="http://www.plants.usda.gov/java/profile?symbol=SPLAG" TargetMode="External"/><Relationship Id="rId21" Type="http://schemas.openxmlformats.org/officeDocument/2006/relationships/hyperlink" Target="http://www.plants.usda.gov/java/profile?symbol=ARPU9" TargetMode="External"/><Relationship Id="rId2089" Type="http://schemas.openxmlformats.org/officeDocument/2006/relationships/hyperlink" Target="http://www.plants.usda.gov/java/profile?symbol=ARRAR" TargetMode="External"/><Relationship Id="rId170" Type="http://schemas.openxmlformats.org/officeDocument/2006/relationships/hyperlink" Target="http://www.plants.usda.gov/java/profile?symbol=CASU5" TargetMode="External"/><Relationship Id="rId2296" Type="http://schemas.openxmlformats.org/officeDocument/2006/relationships/hyperlink" Target="http://www.plants.usda.gov/java/profile?symbol=PODED" TargetMode="External"/><Relationship Id="rId268" Type="http://schemas.openxmlformats.org/officeDocument/2006/relationships/hyperlink" Target="http://www.plants.usda.gov/java/profile?symbol=ELTEV" TargetMode="External"/><Relationship Id="rId475" Type="http://schemas.openxmlformats.org/officeDocument/2006/relationships/hyperlink" Target="http://www.plants.usda.gov/java/profile?symbol=ACOS" TargetMode="External"/><Relationship Id="rId682" Type="http://schemas.openxmlformats.org/officeDocument/2006/relationships/hyperlink" Target="http://www.plants.usda.gov/java/profile?symbol=BLHIH" TargetMode="External"/><Relationship Id="rId2156" Type="http://schemas.openxmlformats.org/officeDocument/2006/relationships/hyperlink" Target="http://www.plants.usda.gov/java/profile?symbol=CRDI4" TargetMode="External"/><Relationship Id="rId2363" Type="http://schemas.openxmlformats.org/officeDocument/2006/relationships/hyperlink" Target="http://www.plants.usda.gov/java/profile?symbol=RIAUV" TargetMode="External"/><Relationship Id="rId2570" Type="http://schemas.openxmlformats.org/officeDocument/2006/relationships/hyperlink" Target="http://www.plants.usda.gov/java/profile?symbol=SMRO" TargetMode="External"/><Relationship Id="rId128" Type="http://schemas.openxmlformats.org/officeDocument/2006/relationships/hyperlink" Target="http://www.plants.usda.gov/java/profile?symbol=CALI7" TargetMode="External"/><Relationship Id="rId335" Type="http://schemas.openxmlformats.org/officeDocument/2006/relationships/hyperlink" Target="http://www.plants.usda.gov/java/profile?symbol=JUCA3" TargetMode="External"/><Relationship Id="rId542" Type="http://schemas.openxmlformats.org/officeDocument/2006/relationships/hyperlink" Target="http://www.plants.usda.gov/java/profile?symbol=AMTO3" TargetMode="External"/><Relationship Id="rId987" Type="http://schemas.openxmlformats.org/officeDocument/2006/relationships/hyperlink" Target="http://www.plants.usda.gov/java/profile?symbol=ERPU" TargetMode="External"/><Relationship Id="rId1172" Type="http://schemas.openxmlformats.org/officeDocument/2006/relationships/hyperlink" Target="http://www.plants.usda.gov/java/profile?symbol=HULUP" TargetMode="External"/><Relationship Id="rId2016" Type="http://schemas.openxmlformats.org/officeDocument/2006/relationships/hyperlink" Target="http://www.plants.usda.gov/java/profile?symbol=VIPU3" TargetMode="External"/><Relationship Id="rId2223" Type="http://schemas.openxmlformats.org/officeDocument/2006/relationships/hyperlink" Target="http://www.plants.usda.gov/java/profile?symbol=JUVI" TargetMode="External"/><Relationship Id="rId2430" Type="http://schemas.openxmlformats.org/officeDocument/2006/relationships/hyperlink" Target="http://www.plants.usda.gov/java/profile?symbol=SAIN3" TargetMode="External"/><Relationship Id="rId402" Type="http://schemas.openxmlformats.org/officeDocument/2006/relationships/hyperlink" Target="http://www.plants.usda.gov/java/profile?symbol=POCH2" TargetMode="External"/><Relationship Id="rId847" Type="http://schemas.openxmlformats.org/officeDocument/2006/relationships/hyperlink" Target="http://www.plants.usda.gov/java/profile?symbol=CRCAC2" TargetMode="External"/><Relationship Id="rId1032" Type="http://schemas.openxmlformats.org/officeDocument/2006/relationships/hyperlink" Target="http://www.plants.usda.gov/java/profile?symbol=FRVEA2" TargetMode="External"/><Relationship Id="rId1477" Type="http://schemas.openxmlformats.org/officeDocument/2006/relationships/hyperlink" Target="http://www.plants.usda.gov/java/profile?symbol=PECO4" TargetMode="External"/><Relationship Id="rId1684" Type="http://schemas.openxmlformats.org/officeDocument/2006/relationships/hyperlink" Target="http://www.plants.usda.gov/java/profile?symbol=RUPUP2" TargetMode="External"/><Relationship Id="rId1891" Type="http://schemas.openxmlformats.org/officeDocument/2006/relationships/hyperlink" Target="http://www.plants.usda.gov/java/profile?symbol=SYPRS" TargetMode="External"/><Relationship Id="rId2528" Type="http://schemas.openxmlformats.org/officeDocument/2006/relationships/hyperlink" Target="http://www.plants.usda.gov/java/profile?symbol=CUIN" TargetMode="External"/><Relationship Id="rId707" Type="http://schemas.openxmlformats.org/officeDocument/2006/relationships/hyperlink" Target="http://www.plants.usda.gov/java/profile?symbol=CATUT" TargetMode="External"/><Relationship Id="rId914" Type="http://schemas.openxmlformats.org/officeDocument/2006/relationships/hyperlink" Target="http://www.plants.usda.gov/java/profile?symbol=DECUC" TargetMode="External"/><Relationship Id="rId1337" Type="http://schemas.openxmlformats.org/officeDocument/2006/relationships/hyperlink" Target="http://www.plants.usda.gov/java/profile?symbol=MAPIP" TargetMode="External"/><Relationship Id="rId1544" Type="http://schemas.openxmlformats.org/officeDocument/2006/relationships/hyperlink" Target="http://www.plants.usda.gov/java/profile?symbol=PLLE2" TargetMode="External"/><Relationship Id="rId1751" Type="http://schemas.openxmlformats.org/officeDocument/2006/relationships/hyperlink" Target="http://www.plants.usda.gov/java/profile?symbol=SEINI" TargetMode="External"/><Relationship Id="rId1989" Type="http://schemas.openxmlformats.org/officeDocument/2006/relationships/hyperlink" Target="http://www.plants.usda.gov/java/profile?symbol=VEPE2" TargetMode="External"/><Relationship Id="rId43" Type="http://schemas.openxmlformats.org/officeDocument/2006/relationships/hyperlink" Target="http://www.plants.usda.gov/java/profile?symbol=BUCAC" TargetMode="External"/><Relationship Id="rId1404" Type="http://schemas.openxmlformats.org/officeDocument/2006/relationships/hyperlink" Target="http://www.plants.usda.gov/java/profile?symbol=NEAQ2" TargetMode="External"/><Relationship Id="rId1611" Type="http://schemas.openxmlformats.org/officeDocument/2006/relationships/hyperlink" Target="http://www.plants.usda.gov/java/profile?symbol=POSP4" TargetMode="External"/><Relationship Id="rId1849" Type="http://schemas.openxmlformats.org/officeDocument/2006/relationships/hyperlink" Target="http://www.plants.usda.gov/java/profile?symbol=STFI6" TargetMode="External"/><Relationship Id="rId192" Type="http://schemas.openxmlformats.org/officeDocument/2006/relationships/hyperlink" Target="http://www.plants.usda.gov/java/profile?symbol=CHVE2" TargetMode="External"/><Relationship Id="rId1709" Type="http://schemas.openxmlformats.org/officeDocument/2006/relationships/hyperlink" Target="http://www.plants.usda.gov/java/profile?symbol=SABR8" TargetMode="External"/><Relationship Id="rId1916" Type="http://schemas.openxmlformats.org/officeDocument/2006/relationships/hyperlink" Target="http://www.plants.usda.gov/java/profile?symbol=TOARA" TargetMode="External"/><Relationship Id="rId497" Type="http://schemas.openxmlformats.org/officeDocument/2006/relationships/hyperlink" Target="http://www.plants.usda.gov/java/profile?symbol=AGPAB" TargetMode="External"/><Relationship Id="rId2080" Type="http://schemas.openxmlformats.org/officeDocument/2006/relationships/hyperlink" Target="http://www.plants.usda.gov/java/profile?symbol=AMSA" TargetMode="External"/><Relationship Id="rId2178" Type="http://schemas.openxmlformats.org/officeDocument/2006/relationships/hyperlink" Target="http://www.plants.usda.gov/java/profile?symbol=DIVI5" TargetMode="External"/><Relationship Id="rId2385" Type="http://schemas.openxmlformats.org/officeDocument/2006/relationships/hyperlink" Target="http://www.plants.usda.gov/java/profile?symbol=ROSET" TargetMode="External"/><Relationship Id="rId357" Type="http://schemas.openxmlformats.org/officeDocument/2006/relationships/hyperlink" Target="http://www.plants.usda.gov/java/profile?symbol=LIMI12" TargetMode="External"/><Relationship Id="rId1194" Type="http://schemas.openxmlformats.org/officeDocument/2006/relationships/hyperlink" Target="http://www.plants.usda.gov/java/profile?symbol=IMPA" TargetMode="External"/><Relationship Id="rId2038" Type="http://schemas.openxmlformats.org/officeDocument/2006/relationships/hyperlink" Target="http://www.plants.usda.gov/java/profile?symbol=XYTO" TargetMode="External"/><Relationship Id="rId217" Type="http://schemas.openxmlformats.org/officeDocument/2006/relationships/hyperlink" Target="http://www.plants.usda.gov/java/profile?symbol=DIDID" TargetMode="External"/><Relationship Id="rId564" Type="http://schemas.openxmlformats.org/officeDocument/2006/relationships/hyperlink" Target="http://www.plants.usda.gov/java/profile?symbol=ANHO" TargetMode="External"/><Relationship Id="rId771" Type="http://schemas.openxmlformats.org/officeDocument/2006/relationships/hyperlink" Target="http://www.plants.usda.gov/java/profile?symbol=CHCA4" TargetMode="External"/><Relationship Id="rId869" Type="http://schemas.openxmlformats.org/officeDocument/2006/relationships/hyperlink" Target="http://www.plants.usda.gov/java/profile?symbol=CUPE3" TargetMode="External"/><Relationship Id="rId1499" Type="http://schemas.openxmlformats.org/officeDocument/2006/relationships/hyperlink" Target="http://www.plants.usda.gov/java/profile?symbol=PHPIF2" TargetMode="External"/><Relationship Id="rId2245" Type="http://schemas.openxmlformats.org/officeDocument/2006/relationships/hyperlink" Target="http://www.plants.usda.gov/java/profile?symbol=MAIOI" TargetMode="External"/><Relationship Id="rId2452" Type="http://schemas.openxmlformats.org/officeDocument/2006/relationships/hyperlink" Target="http://www.plants.usda.gov/java/profile?symbol=SODE3" TargetMode="External"/><Relationship Id="rId424" Type="http://schemas.openxmlformats.org/officeDocument/2006/relationships/hyperlink" Target="http://www.plants.usda.gov/java/profile?symbol=SCPU10" TargetMode="External"/><Relationship Id="rId631" Type="http://schemas.openxmlformats.org/officeDocument/2006/relationships/hyperlink" Target="http://www.plants.usda.gov/java/profile?symbol=ASTU" TargetMode="External"/><Relationship Id="rId729" Type="http://schemas.openxmlformats.org/officeDocument/2006/relationships/hyperlink" Target="http://www.plants.usda.gov/java/profile?symbol=CAPAA2" TargetMode="External"/><Relationship Id="rId1054" Type="http://schemas.openxmlformats.org/officeDocument/2006/relationships/hyperlink" Target="http://www.plants.usda.gov/java/profile?symbol=GATRT5" TargetMode="External"/><Relationship Id="rId1261" Type="http://schemas.openxmlformats.org/officeDocument/2006/relationships/hyperlink" Target="http://www.plants.usda.gov/java/profile?symbol=LISP4" TargetMode="External"/><Relationship Id="rId1359" Type="http://schemas.openxmlformats.org/officeDocument/2006/relationships/hyperlink" Target="http://www.plants.usda.gov/java/profile?symbol=MIAL2" TargetMode="External"/><Relationship Id="rId2105" Type="http://schemas.openxmlformats.org/officeDocument/2006/relationships/hyperlink" Target="http://www.plants.usda.gov/java/profile?symbol=BEPAP" TargetMode="External"/><Relationship Id="rId2312" Type="http://schemas.openxmlformats.org/officeDocument/2006/relationships/hyperlink" Target="http://www.plants.usda.gov/java/profile?symbol=PRPUP" TargetMode="External"/><Relationship Id="rId936" Type="http://schemas.openxmlformats.org/officeDocument/2006/relationships/hyperlink" Target="http://www.plants.usda.gov/java/profile?symbol=DOUM2" TargetMode="External"/><Relationship Id="rId1121" Type="http://schemas.openxmlformats.org/officeDocument/2006/relationships/hyperlink" Target="http://www.plants.usda.gov/java/profile?symbol=HELA" TargetMode="External"/><Relationship Id="rId1219" Type="http://schemas.openxmlformats.org/officeDocument/2006/relationships/hyperlink" Target="http://www.plants.usda.gov/java/profile?symbol=LATAP" TargetMode="External"/><Relationship Id="rId1566" Type="http://schemas.openxmlformats.org/officeDocument/2006/relationships/hyperlink" Target="http://www.plants.usda.gov/java/profile?symbol=POAC3" TargetMode="External"/><Relationship Id="rId1773" Type="http://schemas.openxmlformats.org/officeDocument/2006/relationships/hyperlink" Target="http://www.plants.usda.gov/java/profile?symbol=SIAN3" TargetMode="External"/><Relationship Id="rId1980" Type="http://schemas.openxmlformats.org/officeDocument/2006/relationships/hyperlink" Target="http://www.plants.usda.gov/java/profile?symbol=VEBAI2" TargetMode="External"/><Relationship Id="rId65" Type="http://schemas.openxmlformats.org/officeDocument/2006/relationships/hyperlink" Target="http://www.plants.usda.gov/java/profile?symbol=CABI3" TargetMode="External"/><Relationship Id="rId1426" Type="http://schemas.openxmlformats.org/officeDocument/2006/relationships/hyperlink" Target="http://www.plants.usda.gov/java/profile?symbol=OLRIH" TargetMode="External"/><Relationship Id="rId1633" Type="http://schemas.openxmlformats.org/officeDocument/2006/relationships/hyperlink" Target="http://www.plants.usda.gov/java/profile?symbol=PRLO" TargetMode="External"/><Relationship Id="rId1840" Type="http://schemas.openxmlformats.org/officeDocument/2006/relationships/hyperlink" Target="http://www.plants.usda.gov/java/profile?symbol=STTE" TargetMode="External"/><Relationship Id="rId1700" Type="http://schemas.openxmlformats.org/officeDocument/2006/relationships/hyperlink" Target="http://www.plants.usda.gov/java/profile?symbol=RUORO" TargetMode="External"/><Relationship Id="rId1938" Type="http://schemas.openxmlformats.org/officeDocument/2006/relationships/hyperlink" Target="http://www.plants.usda.gov/java/profile?symbol=TRPE5" TargetMode="External"/><Relationship Id="rId281" Type="http://schemas.openxmlformats.org/officeDocument/2006/relationships/hyperlink" Target="http://www.plants.usda.gov/java/profile?symbol=ELTR7" TargetMode="External"/><Relationship Id="rId141" Type="http://schemas.openxmlformats.org/officeDocument/2006/relationships/hyperlink" Target="http://www.plants.usda.gov/java/profile?symbol=CANO2" TargetMode="External"/><Relationship Id="rId379" Type="http://schemas.openxmlformats.org/officeDocument/2006/relationships/hyperlink" Target="http://www.plants.usda.gov/java/profile?symbol=MUSO" TargetMode="External"/><Relationship Id="rId586" Type="http://schemas.openxmlformats.org/officeDocument/2006/relationships/hyperlink" Target="http://www.plants.usda.gov/java/profile?symbol=ARMI5" TargetMode="External"/><Relationship Id="rId793" Type="http://schemas.openxmlformats.org/officeDocument/2006/relationships/hyperlink" Target="http://www.plants.usda.gov/java/profile?symbol=CICA11" TargetMode="External"/><Relationship Id="rId2267" Type="http://schemas.openxmlformats.org/officeDocument/2006/relationships/hyperlink" Target="http://www.plants.usda.gov/java/profile?symbol=OXALA" TargetMode="External"/><Relationship Id="rId2474" Type="http://schemas.openxmlformats.org/officeDocument/2006/relationships/hyperlink" Target="http://www.plants.usda.gov/java/profile?symbol=TIAMH" TargetMode="External"/><Relationship Id="rId7" Type="http://schemas.openxmlformats.org/officeDocument/2006/relationships/hyperlink" Target="http://www.plants.usda.gov/java/profile?symbol=ALAEA" TargetMode="External"/><Relationship Id="rId239" Type="http://schemas.openxmlformats.org/officeDocument/2006/relationships/hyperlink" Target="http://www.plants.usda.gov/java/profile?symbol=DICO6" TargetMode="External"/><Relationship Id="rId446" Type="http://schemas.openxmlformats.org/officeDocument/2006/relationships/hyperlink" Target="http://www.plants.usda.gov/java/profile?symbol=SPCL" TargetMode="External"/><Relationship Id="rId653" Type="http://schemas.openxmlformats.org/officeDocument/2006/relationships/hyperlink" Target="http://www.plants.usda.gov/java/profile?symbol=ATFIA" TargetMode="External"/><Relationship Id="rId1076" Type="http://schemas.openxmlformats.org/officeDocument/2006/relationships/hyperlink" Target="http://www.plants.usda.gov/java/profile?symbol=GECAC4" TargetMode="External"/><Relationship Id="rId1283" Type="http://schemas.openxmlformats.org/officeDocument/2006/relationships/hyperlink" Target="http://www.plants.usda.gov/java/profile?symbol=LILO" TargetMode="External"/><Relationship Id="rId1490" Type="http://schemas.openxmlformats.org/officeDocument/2006/relationships/hyperlink" Target="http://www.plants.usda.gov/java/profile?symbol=PHHE11" TargetMode="External"/><Relationship Id="rId2127" Type="http://schemas.openxmlformats.org/officeDocument/2006/relationships/hyperlink" Target="http://www.plants.usda.gov/java/profile?symbol=CEHE" TargetMode="External"/><Relationship Id="rId2334" Type="http://schemas.openxmlformats.org/officeDocument/2006/relationships/hyperlink" Target="http://www.plants.usda.gov/java/profile?symbol=QUMA2" TargetMode="External"/><Relationship Id="rId306" Type="http://schemas.openxmlformats.org/officeDocument/2006/relationships/hyperlink" Target="http://www.plants.usda.gov/java/profile?symbol=FERUR2" TargetMode="External"/><Relationship Id="rId860" Type="http://schemas.openxmlformats.org/officeDocument/2006/relationships/hyperlink" Target="http://www.plants.usda.gov/java/profile?symbol=CUCO2" TargetMode="External"/><Relationship Id="rId958" Type="http://schemas.openxmlformats.org/officeDocument/2006/relationships/hyperlink" Target="http://www.plants.usda.gov/java/profile?symbol=ECBE2" TargetMode="External"/><Relationship Id="rId1143" Type="http://schemas.openxmlformats.org/officeDocument/2006/relationships/hyperlink" Target="http://www.plants.usda.gov/java/profile?symbol=HEDU2" TargetMode="External"/><Relationship Id="rId1588" Type="http://schemas.openxmlformats.org/officeDocument/2006/relationships/hyperlink" Target="http://www.plants.usda.gov/java/profile?symbol=POVI2" TargetMode="External"/><Relationship Id="rId1795" Type="http://schemas.openxmlformats.org/officeDocument/2006/relationships/hyperlink" Target="http://www.plants.usda.gov/java/profile?symbol=SOCAH" TargetMode="External"/><Relationship Id="rId2541" Type="http://schemas.openxmlformats.org/officeDocument/2006/relationships/hyperlink" Target="http://www.plants.usda.gov/java/profile?symbol=HULU" TargetMode="External"/><Relationship Id="rId87" Type="http://schemas.openxmlformats.org/officeDocument/2006/relationships/hyperlink" Target="http://www.plants.usda.gov/java/profile?symbol=CADED4" TargetMode="External"/><Relationship Id="rId513" Type="http://schemas.openxmlformats.org/officeDocument/2006/relationships/hyperlink" Target="http://www.plants.usda.gov/java/profile?symbol=AGPU" TargetMode="External"/><Relationship Id="rId720" Type="http://schemas.openxmlformats.org/officeDocument/2006/relationships/hyperlink" Target="http://www.plants.usda.gov/java/profile?symbol=CAAN2" TargetMode="External"/><Relationship Id="rId818" Type="http://schemas.openxmlformats.org/officeDocument/2006/relationships/hyperlink" Target="http://www.plants.usda.gov/java/profile?symbol=COCAC3" TargetMode="External"/><Relationship Id="rId1350" Type="http://schemas.openxmlformats.org/officeDocument/2006/relationships/hyperlink" Target="http://www.plants.usda.gov/java/profile?symbol=MAST" TargetMode="External"/><Relationship Id="rId1448" Type="http://schemas.openxmlformats.org/officeDocument/2006/relationships/hyperlink" Target="http://www.plants.usda.gov/java/profile?symbol=OXST" TargetMode="External"/><Relationship Id="rId1655" Type="http://schemas.openxmlformats.org/officeDocument/2006/relationships/hyperlink" Target="http://www.plants.usda.gov/java/profile?symbol=RAACA3" TargetMode="External"/><Relationship Id="rId2401" Type="http://schemas.openxmlformats.org/officeDocument/2006/relationships/hyperlink" Target="http://www.plants.usda.gov/java/profile?symbol=RULE3" TargetMode="External"/><Relationship Id="rId1003" Type="http://schemas.openxmlformats.org/officeDocument/2006/relationships/hyperlink" Target="http://www.plants.usda.gov/java/profile?symbol=EUMAB" TargetMode="External"/><Relationship Id="rId1210" Type="http://schemas.openxmlformats.org/officeDocument/2006/relationships/hyperlink" Target="http://www.plants.usda.gov/java/profile?symbol=KRDA" TargetMode="External"/><Relationship Id="rId1308" Type="http://schemas.openxmlformats.org/officeDocument/2006/relationships/hyperlink" Target="http://www.plants.usda.gov/java/profile?symbol=LUPE5" TargetMode="External"/><Relationship Id="rId1862" Type="http://schemas.openxmlformats.org/officeDocument/2006/relationships/hyperlink" Target="http://www.plants.usda.gov/java/profile?symbol=SYDUS" TargetMode="External"/><Relationship Id="rId1515" Type="http://schemas.openxmlformats.org/officeDocument/2006/relationships/hyperlink" Target="http://www.plants.usda.gov/java/profile?symbol=PHPU8" TargetMode="External"/><Relationship Id="rId1722" Type="http://schemas.openxmlformats.org/officeDocument/2006/relationships/hyperlink" Target="http://www.plants.usda.gov/java/profile?symbol=SACA13" TargetMode="External"/><Relationship Id="rId14" Type="http://schemas.openxmlformats.org/officeDocument/2006/relationships/hyperlink" Target="http://www.plants.usda.gov/java/profile?symbol=ARDI4" TargetMode="External"/><Relationship Id="rId2191" Type="http://schemas.openxmlformats.org/officeDocument/2006/relationships/hyperlink" Target="http://www.plants.usda.gov/java/profile?symbol=FRNI" TargetMode="External"/><Relationship Id="rId163" Type="http://schemas.openxmlformats.org/officeDocument/2006/relationships/hyperlink" Target="http://www.plants.usda.gov/java/profile?symbol=CASP3" TargetMode="External"/><Relationship Id="rId370" Type="http://schemas.openxmlformats.org/officeDocument/2006/relationships/hyperlink" Target="http://www.plants.usda.gov/java/profile?symbol=MUBU" TargetMode="External"/><Relationship Id="rId2051" Type="http://schemas.openxmlformats.org/officeDocument/2006/relationships/hyperlink" Target="http://www.plants.usda.gov/java/profile?symbol=ACNE2" TargetMode="External"/><Relationship Id="rId2289" Type="http://schemas.openxmlformats.org/officeDocument/2006/relationships/hyperlink" Target="http://www.plants.usda.gov/java/profile?symbol=PORE2" TargetMode="External"/><Relationship Id="rId2496" Type="http://schemas.openxmlformats.org/officeDocument/2006/relationships/hyperlink" Target="http://www.plants.usda.gov/java/profile?symbol=ADFU" TargetMode="External"/><Relationship Id="rId230" Type="http://schemas.openxmlformats.org/officeDocument/2006/relationships/hyperlink" Target="http://www.plants.usda.gov/java/profile?symbol=DISAT" TargetMode="External"/><Relationship Id="rId468" Type="http://schemas.openxmlformats.org/officeDocument/2006/relationships/hyperlink" Target="http://www.plants.usda.gov/java/profile?symbol=ZIPA3" TargetMode="External"/><Relationship Id="rId675" Type="http://schemas.openxmlformats.org/officeDocument/2006/relationships/hyperlink" Target="http://www.plants.usda.gov/java/profile?symbol=BICO" TargetMode="External"/><Relationship Id="rId882" Type="http://schemas.openxmlformats.org/officeDocument/2006/relationships/hyperlink" Target="http://www.plants.usda.gov/java/profile?symbol=CYPAM3" TargetMode="External"/><Relationship Id="rId1098" Type="http://schemas.openxmlformats.org/officeDocument/2006/relationships/hyperlink" Target="http://www.plants.usda.gov/java/profile?symbol=GYJE" TargetMode="External"/><Relationship Id="rId2149" Type="http://schemas.openxmlformats.org/officeDocument/2006/relationships/hyperlink" Target="http://www.plants.usda.gov/java/profile?symbol=COCO6" TargetMode="External"/><Relationship Id="rId2356" Type="http://schemas.openxmlformats.org/officeDocument/2006/relationships/hyperlink" Target="http://www.plants.usda.gov/java/profile?symbol=RHCOL2" TargetMode="External"/><Relationship Id="rId2563" Type="http://schemas.openxmlformats.org/officeDocument/2006/relationships/hyperlink" Target="http://www.plants.usda.gov/java/profile?symbol=ROSE2" TargetMode="External"/><Relationship Id="rId328" Type="http://schemas.openxmlformats.org/officeDocument/2006/relationships/hyperlink" Target="http://www.plants.usda.gov/java/profile?symbol=JUAL4" TargetMode="External"/><Relationship Id="rId535" Type="http://schemas.openxmlformats.org/officeDocument/2006/relationships/hyperlink" Target="http://www.plants.usda.gov/java/profile?symbol=AMSP" TargetMode="External"/><Relationship Id="rId742" Type="http://schemas.openxmlformats.org/officeDocument/2006/relationships/hyperlink" Target="http://www.plants.usda.gov/java/profile?symbol=CEDE4" TargetMode="External"/><Relationship Id="rId1165" Type="http://schemas.openxmlformats.org/officeDocument/2006/relationships/hyperlink" Target="http://www.plants.usda.gov/java/profile?symbol=HIUM" TargetMode="External"/><Relationship Id="rId1372" Type="http://schemas.openxmlformats.org/officeDocument/2006/relationships/hyperlink" Target="http://www.plants.usda.gov/java/profile?symbol=MOLA6" TargetMode="External"/><Relationship Id="rId2009" Type="http://schemas.openxmlformats.org/officeDocument/2006/relationships/hyperlink" Target="http://www.plants.usda.gov/java/profile?symbol=VIMA2" TargetMode="External"/><Relationship Id="rId2216" Type="http://schemas.openxmlformats.org/officeDocument/2006/relationships/hyperlink" Target="http://www.plants.usda.gov/java/profile?symbol=HYSP2" TargetMode="External"/><Relationship Id="rId2423" Type="http://schemas.openxmlformats.org/officeDocument/2006/relationships/hyperlink" Target="http://www.plants.usda.gov/java/profile?symbol=SABE2" TargetMode="External"/><Relationship Id="rId602" Type="http://schemas.openxmlformats.org/officeDocument/2006/relationships/hyperlink" Target="http://www.plants.usda.gov/java/profile?symbol=ARPL4" TargetMode="External"/><Relationship Id="rId1025" Type="http://schemas.openxmlformats.org/officeDocument/2006/relationships/hyperlink" Target="http://www.plants.usda.gov/java/profile?symbol=EUSC5" TargetMode="External"/><Relationship Id="rId1232" Type="http://schemas.openxmlformats.org/officeDocument/2006/relationships/hyperlink" Target="http://www.plants.usda.gov/java/profile?symbol=LETE" TargetMode="External"/><Relationship Id="rId1677" Type="http://schemas.openxmlformats.org/officeDocument/2006/relationships/hyperlink" Target="http://www.plants.usda.gov/java/profile?symbol=ROPA2" TargetMode="External"/><Relationship Id="rId1884" Type="http://schemas.openxmlformats.org/officeDocument/2006/relationships/hyperlink" Target="http://www.plants.usda.gov/java/profile?symbol=SYOOO" TargetMode="External"/><Relationship Id="rId907" Type="http://schemas.openxmlformats.org/officeDocument/2006/relationships/hyperlink" Target="http://www.plants.usda.gov/java/profile?symbol=DEAC4" TargetMode="External"/><Relationship Id="rId1537" Type="http://schemas.openxmlformats.org/officeDocument/2006/relationships/hyperlink" Target="http://www.plants.usda.gov/java/profile?symbol=PLDI3" TargetMode="External"/><Relationship Id="rId1744" Type="http://schemas.openxmlformats.org/officeDocument/2006/relationships/hyperlink" Target="http://www.plants.usda.gov/java/profile?symbol=SCPAM" TargetMode="External"/><Relationship Id="rId1951" Type="http://schemas.openxmlformats.org/officeDocument/2006/relationships/hyperlink" Target="http://www.plants.usda.gov/java/profile?symbol=UVSE" TargetMode="External"/><Relationship Id="rId36" Type="http://schemas.openxmlformats.org/officeDocument/2006/relationships/hyperlink" Target="http://www.plants.usda.gov/java/profile?symbol=BRIN2" TargetMode="External"/><Relationship Id="rId1604" Type="http://schemas.openxmlformats.org/officeDocument/2006/relationships/hyperlink" Target="http://www.plants.usda.gov/java/profile?symbol=PONA4" TargetMode="External"/><Relationship Id="rId185" Type="http://schemas.openxmlformats.org/officeDocument/2006/relationships/hyperlink" Target="http://www.plants.usda.gov/java/profile?symbol=CAVU2" TargetMode="External"/><Relationship Id="rId1811" Type="http://schemas.openxmlformats.org/officeDocument/2006/relationships/hyperlink" Target="http://www.plants.usda.gov/java/profile?symbol=SOSPJ" TargetMode="External"/><Relationship Id="rId1909" Type="http://schemas.openxmlformats.org/officeDocument/2006/relationships/hyperlink" Target="http://www.plants.usda.gov/java/profile?symbol=THRE" TargetMode="External"/><Relationship Id="rId392" Type="http://schemas.openxmlformats.org/officeDocument/2006/relationships/hyperlink" Target="http://www.plants.usda.gov/java/profile?symbol=PAPH" TargetMode="External"/><Relationship Id="rId697" Type="http://schemas.openxmlformats.org/officeDocument/2006/relationships/hyperlink" Target="http://www.plants.usda.gov/java/profile?symbol=CAPA" TargetMode="External"/><Relationship Id="rId2073" Type="http://schemas.openxmlformats.org/officeDocument/2006/relationships/hyperlink" Target="http://www.plants.usda.gov/java/profile?symbol=AMAL2" TargetMode="External"/><Relationship Id="rId2280" Type="http://schemas.openxmlformats.org/officeDocument/2006/relationships/hyperlink" Target="http://www.plants.usda.gov/java/profile?symbol=PHSU3" TargetMode="External"/><Relationship Id="rId2378" Type="http://schemas.openxmlformats.org/officeDocument/2006/relationships/hyperlink" Target="http://www.plants.usda.gov/java/profile?symbol=ROBLB" TargetMode="External"/><Relationship Id="rId252" Type="http://schemas.openxmlformats.org/officeDocument/2006/relationships/hyperlink" Target="http://www.plants.usda.gov/java/profile?symbol=ELCO2" TargetMode="External"/><Relationship Id="rId1187" Type="http://schemas.openxmlformats.org/officeDocument/2006/relationships/hyperlink" Target="http://www.plants.usda.gov/java/profile?symbol=HYGE" TargetMode="External"/><Relationship Id="rId2140" Type="http://schemas.openxmlformats.org/officeDocument/2006/relationships/hyperlink" Target="http://www.plants.usda.gov/java/profile?symbol=COAM2" TargetMode="External"/><Relationship Id="rId2585" Type="http://schemas.openxmlformats.org/officeDocument/2006/relationships/hyperlink" Target="http://www.plants.usda.gov/java/profile?symbol=VICI2" TargetMode="External"/><Relationship Id="rId112" Type="http://schemas.openxmlformats.org/officeDocument/2006/relationships/hyperlink" Target="http://www.plants.usda.gov/java/profile?symbol=CAIN9" TargetMode="External"/><Relationship Id="rId557" Type="http://schemas.openxmlformats.org/officeDocument/2006/relationships/hyperlink" Target="http://www.plants.usda.gov/java/profile?symbol=ANCY" TargetMode="External"/><Relationship Id="rId764" Type="http://schemas.openxmlformats.org/officeDocument/2006/relationships/hyperlink" Target="http://www.plants.usda.gov/java/profile?symbol=CHAL7" TargetMode="External"/><Relationship Id="rId971" Type="http://schemas.openxmlformats.org/officeDocument/2006/relationships/hyperlink" Target="http://www.plants.usda.gov/java/profile?symbol=EPWI" TargetMode="External"/><Relationship Id="rId1394" Type="http://schemas.openxmlformats.org/officeDocument/2006/relationships/hyperlink" Target="http://www.plants.usda.gov/java/profile?symbol=NAFL" TargetMode="External"/><Relationship Id="rId1699" Type="http://schemas.openxmlformats.org/officeDocument/2006/relationships/hyperlink" Target="http://www.plants.usda.gov/java/profile?symbol=RUORB" TargetMode="External"/><Relationship Id="rId2000" Type="http://schemas.openxmlformats.org/officeDocument/2006/relationships/hyperlink" Target="http://www.plants.usda.gov/java/profile?symbol=VIBE5" TargetMode="External"/><Relationship Id="rId2238" Type="http://schemas.openxmlformats.org/officeDocument/2006/relationships/hyperlink" Target="http://www.plants.usda.gov/java/profile?symbol=LYALA4" TargetMode="External"/><Relationship Id="rId2445" Type="http://schemas.openxmlformats.org/officeDocument/2006/relationships/hyperlink" Target="http://www.plants.usda.gov/java/profile?symbol=SHAR" TargetMode="External"/><Relationship Id="rId417" Type="http://schemas.openxmlformats.org/officeDocument/2006/relationships/hyperlink" Target="http://www.plants.usda.gov/java/profile?symbol=SCAC3" TargetMode="External"/><Relationship Id="rId624" Type="http://schemas.openxmlformats.org/officeDocument/2006/relationships/hyperlink" Target="http://www.plants.usda.gov/java/profile?symbol=ASPU" TargetMode="External"/><Relationship Id="rId831" Type="http://schemas.openxmlformats.org/officeDocument/2006/relationships/hyperlink" Target="http://www.plants.usda.gov/java/profile?symbol=COTR4" TargetMode="External"/><Relationship Id="rId1047" Type="http://schemas.openxmlformats.org/officeDocument/2006/relationships/hyperlink" Target="http://www.plants.usda.gov/java/profile?symbol=GACIH" TargetMode="External"/><Relationship Id="rId1254" Type="http://schemas.openxmlformats.org/officeDocument/2006/relationships/hyperlink" Target="http://www.plants.usda.gov/java/profile?symbol=LICY" TargetMode="External"/><Relationship Id="rId1461" Type="http://schemas.openxmlformats.org/officeDocument/2006/relationships/hyperlink" Target="http://www.plants.usda.gov/java/profile?symbol=PAGL3" TargetMode="External"/><Relationship Id="rId2305" Type="http://schemas.openxmlformats.org/officeDocument/2006/relationships/hyperlink" Target="http://www.plants.usda.gov/java/profile?symbol=PRHO" TargetMode="External"/><Relationship Id="rId2512" Type="http://schemas.openxmlformats.org/officeDocument/2006/relationships/hyperlink" Target="http://www.plants.usda.gov/java/profile?symbol=CESC" TargetMode="External"/><Relationship Id="rId929" Type="http://schemas.openxmlformats.org/officeDocument/2006/relationships/hyperlink" Target="http://www.plants.usda.gov/java/profile?symbol=DIQU" TargetMode="External"/><Relationship Id="rId1114" Type="http://schemas.openxmlformats.org/officeDocument/2006/relationships/hyperlink" Target="http://www.plants.usda.gov/java/profile?symbol=HEDE" TargetMode="External"/><Relationship Id="rId1321" Type="http://schemas.openxmlformats.org/officeDocument/2006/relationships/hyperlink" Target="http://www.plants.usda.gov/java/profile?symbol=LYUN" TargetMode="External"/><Relationship Id="rId1559" Type="http://schemas.openxmlformats.org/officeDocument/2006/relationships/hyperlink" Target="http://www.plants.usda.gov/java/profile?symbol=POSE3" TargetMode="External"/><Relationship Id="rId1766" Type="http://schemas.openxmlformats.org/officeDocument/2006/relationships/hyperlink" Target="http://www.plants.usda.gov/java/profile?symbol=SIINN" TargetMode="External"/><Relationship Id="rId1973" Type="http://schemas.openxmlformats.org/officeDocument/2006/relationships/hyperlink" Target="http://www.plants.usda.gov/java/profile?symbol=VEAL" TargetMode="External"/><Relationship Id="rId58" Type="http://schemas.openxmlformats.org/officeDocument/2006/relationships/hyperlink" Target="http://www.plants.usda.gov/java/profile?symbol=CAAQ" TargetMode="External"/><Relationship Id="rId1419" Type="http://schemas.openxmlformats.org/officeDocument/2006/relationships/hyperlink" Target="http://www.plants.usda.gov/java/profile?symbol=OERH" TargetMode="External"/><Relationship Id="rId1626" Type="http://schemas.openxmlformats.org/officeDocument/2006/relationships/hyperlink" Target="http://www.plants.usda.gov/java/profile?symbol=POSI2" TargetMode="External"/><Relationship Id="rId1833" Type="http://schemas.openxmlformats.org/officeDocument/2006/relationships/hyperlink" Target="http://www.plants.usda.gov/java/profile?symbol=SPRO" TargetMode="External"/><Relationship Id="rId1900" Type="http://schemas.openxmlformats.org/officeDocument/2006/relationships/hyperlink" Target="http://www.plants.usda.gov/java/profile?symbol=SYFO" TargetMode="External"/><Relationship Id="rId2095" Type="http://schemas.openxmlformats.org/officeDocument/2006/relationships/hyperlink" Target="http://www.plants.usda.gov/java/profile?symbol=ARVU" TargetMode="External"/><Relationship Id="rId274" Type="http://schemas.openxmlformats.org/officeDocument/2006/relationships/hyperlink" Target="http://www.plants.usda.gov/java/profile?symbol=ELDI3" TargetMode="External"/><Relationship Id="rId481" Type="http://schemas.openxmlformats.org/officeDocument/2006/relationships/hyperlink" Target="http://www.plants.usda.gov/java/profile?symbol=ACCOC3" TargetMode="External"/><Relationship Id="rId2162" Type="http://schemas.openxmlformats.org/officeDocument/2006/relationships/hyperlink" Target="http://www.plants.usda.gov/java/profile?symbol=CRSA4" TargetMode="External"/><Relationship Id="rId134" Type="http://schemas.openxmlformats.org/officeDocument/2006/relationships/hyperlink" Target="http://www.plants.usda.gov/java/profile?symbol=CAMI50" TargetMode="External"/><Relationship Id="rId579" Type="http://schemas.openxmlformats.org/officeDocument/2006/relationships/hyperlink" Target="http://www.plants.usda.gov/java/profile?symbol=ARDR" TargetMode="External"/><Relationship Id="rId786" Type="http://schemas.openxmlformats.org/officeDocument/2006/relationships/hyperlink" Target="http://www.plants.usda.gov/java/profile?symbol=CIMAM" TargetMode="External"/><Relationship Id="rId993" Type="http://schemas.openxmlformats.org/officeDocument/2006/relationships/hyperlink" Target="http://www.plants.usda.gov/java/profile?symbol=ERAS2" TargetMode="External"/><Relationship Id="rId2467" Type="http://schemas.openxmlformats.org/officeDocument/2006/relationships/hyperlink" Target="http://www.plants.usda.gov/java/profile?symbol=SYPUP" TargetMode="External"/><Relationship Id="rId341" Type="http://schemas.openxmlformats.org/officeDocument/2006/relationships/hyperlink" Target="http://www.plants.usda.gov/java/profile?symbol=JUINI" TargetMode="External"/><Relationship Id="rId439" Type="http://schemas.openxmlformats.org/officeDocument/2006/relationships/hyperlink" Target="http://www.plants.usda.gov/java/profile?symbol=SCDU2" TargetMode="External"/><Relationship Id="rId646" Type="http://schemas.openxmlformats.org/officeDocument/2006/relationships/hyperlink" Target="http://www.plants.usda.gov/java/profile?symbol=ASFLF" TargetMode="External"/><Relationship Id="rId1069" Type="http://schemas.openxmlformats.org/officeDocument/2006/relationships/hyperlink" Target="http://www.plants.usda.gov/java/profile?symbol=GEQU2" TargetMode="External"/><Relationship Id="rId1276" Type="http://schemas.openxmlformats.org/officeDocument/2006/relationships/hyperlink" Target="http://www.plants.usda.gov/java/profile?symbol=LIPE2" TargetMode="External"/><Relationship Id="rId1483" Type="http://schemas.openxmlformats.org/officeDocument/2006/relationships/hyperlink" Target="http://www.plants.usda.gov/java/profile?symbol=PETU" TargetMode="External"/><Relationship Id="rId2022" Type="http://schemas.openxmlformats.org/officeDocument/2006/relationships/hyperlink" Target="http://www.plants.usda.gov/java/profile?symbol=VISE5" TargetMode="External"/><Relationship Id="rId2327" Type="http://schemas.openxmlformats.org/officeDocument/2006/relationships/hyperlink" Target="http://www.plants.usda.gov/java/profile?symbol=QUDE" TargetMode="External"/><Relationship Id="rId201" Type="http://schemas.openxmlformats.org/officeDocument/2006/relationships/hyperlink" Target="http://www.plants.usda.gov/java/profile?symbol=CYLUM" TargetMode="External"/><Relationship Id="rId506" Type="http://schemas.openxmlformats.org/officeDocument/2006/relationships/hyperlink" Target="http://www.plants.usda.gov/java/profile?symbol=AGSC" TargetMode="External"/><Relationship Id="rId853" Type="http://schemas.openxmlformats.org/officeDocument/2006/relationships/hyperlink" Target="http://www.plants.usda.gov/java/profile?symbol=CRTET" TargetMode="External"/><Relationship Id="rId1136" Type="http://schemas.openxmlformats.org/officeDocument/2006/relationships/hyperlink" Target="http://www.plants.usda.gov/java/profile?symbol=HEHEO" TargetMode="External"/><Relationship Id="rId1690" Type="http://schemas.openxmlformats.org/officeDocument/2006/relationships/hyperlink" Target="http://www.plants.usda.gov/java/profile?symbol=RUTR2" TargetMode="External"/><Relationship Id="rId1788" Type="http://schemas.openxmlformats.org/officeDocument/2006/relationships/hyperlink" Target="http://www.plants.usda.gov/java/profile?symbol=SOPT7" TargetMode="External"/><Relationship Id="rId1995" Type="http://schemas.openxmlformats.org/officeDocument/2006/relationships/hyperlink" Target="http://www.plants.usda.gov/java/profile?symbol=VIAM" TargetMode="External"/><Relationship Id="rId2534" Type="http://schemas.openxmlformats.org/officeDocument/2006/relationships/hyperlink" Target="http://www.plants.usda.gov/java/profile?symbol=DIQU" TargetMode="External"/><Relationship Id="rId713" Type="http://schemas.openxmlformats.org/officeDocument/2006/relationships/hyperlink" Target="http://www.plants.usda.gov/java/profile?symbol=CASEA2" TargetMode="External"/><Relationship Id="rId920" Type="http://schemas.openxmlformats.org/officeDocument/2006/relationships/hyperlink" Target="http://www.plants.usda.gov/java/profile?symbol=DEPA6" TargetMode="External"/><Relationship Id="rId1343" Type="http://schemas.openxmlformats.org/officeDocument/2006/relationships/hyperlink" Target="http://www.plants.usda.gov/java/profile?symbol=MARA7" TargetMode="External"/><Relationship Id="rId1550" Type="http://schemas.openxmlformats.org/officeDocument/2006/relationships/hyperlink" Target="http://www.plants.usda.gov/java/profile?symbol=PODOT" TargetMode="External"/><Relationship Id="rId1648" Type="http://schemas.openxmlformats.org/officeDocument/2006/relationships/hyperlink" Target="http://www.plants.usda.gov/java/profile?symbol=PYTE" TargetMode="External"/><Relationship Id="rId1203" Type="http://schemas.openxmlformats.org/officeDocument/2006/relationships/hyperlink" Target="http://www.plants.usda.gov/java/profile?symbol=IRVIS" TargetMode="External"/><Relationship Id="rId1410" Type="http://schemas.openxmlformats.org/officeDocument/2006/relationships/hyperlink" Target="http://www.plants.usda.gov/java/profile?symbol=NYODO" TargetMode="External"/><Relationship Id="rId1508" Type="http://schemas.openxmlformats.org/officeDocument/2006/relationships/hyperlink" Target="http://www.plants.usda.gov/java/profile?symbol=PHHI8" TargetMode="External"/><Relationship Id="rId1855" Type="http://schemas.openxmlformats.org/officeDocument/2006/relationships/hyperlink" Target="http://www.plants.usda.gov/java/profile?symbol=SYAM3" TargetMode="External"/><Relationship Id="rId1715" Type="http://schemas.openxmlformats.org/officeDocument/2006/relationships/hyperlink" Target="http://www.plants.usda.gov/java/profile?symbol=SAGRG" TargetMode="External"/><Relationship Id="rId1922" Type="http://schemas.openxmlformats.org/officeDocument/2006/relationships/hyperlink" Target="http://www.plants.usda.gov/java/profile?symbol=TROCO" TargetMode="External"/><Relationship Id="rId296" Type="http://schemas.openxmlformats.org/officeDocument/2006/relationships/hyperlink" Target="http://www.plants.usda.gov/java/profile?symbol=ERSP" TargetMode="External"/><Relationship Id="rId2184" Type="http://schemas.openxmlformats.org/officeDocument/2006/relationships/hyperlink" Target="http://www.plants.usda.gov/java/profile?symbol=EUAT5" TargetMode="External"/><Relationship Id="rId2391" Type="http://schemas.openxmlformats.org/officeDocument/2006/relationships/hyperlink" Target="http://www.plants.usda.gov/java/profile?symbol=RUAL9" TargetMode="External"/><Relationship Id="rId156" Type="http://schemas.openxmlformats.org/officeDocument/2006/relationships/hyperlink" Target="http://www.plants.usda.gov/java/profile?symbol=CASA8" TargetMode="External"/><Relationship Id="rId363" Type="http://schemas.openxmlformats.org/officeDocument/2006/relationships/hyperlink" Target="http://www.plants.usda.gov/java/profile?symbol=LUMUM" TargetMode="External"/><Relationship Id="rId570" Type="http://schemas.openxmlformats.org/officeDocument/2006/relationships/hyperlink" Target="http://www.plants.usda.gov/java/profile?symbol=ANPL" TargetMode="External"/><Relationship Id="rId2044" Type="http://schemas.openxmlformats.org/officeDocument/2006/relationships/hyperlink" Target="http://www.plants.usda.gov/java/profile?symbol=ZIELG" TargetMode="External"/><Relationship Id="rId2251" Type="http://schemas.openxmlformats.org/officeDocument/2006/relationships/hyperlink" Target="http://www.plants.usda.gov/java/profile?symbol=MOFIF" TargetMode="External"/><Relationship Id="rId2489" Type="http://schemas.openxmlformats.org/officeDocument/2006/relationships/hyperlink" Target="http://www.plants.usda.gov/java/profile?symbol=VIPR" TargetMode="External"/><Relationship Id="rId223" Type="http://schemas.openxmlformats.org/officeDocument/2006/relationships/hyperlink" Target="http://www.plants.usda.gov/java/profile?symbol=DIOLO" TargetMode="External"/><Relationship Id="rId430" Type="http://schemas.openxmlformats.org/officeDocument/2006/relationships/hyperlink" Target="http://www.plants.usda.gov/java/profile?symbol=SCAT4" TargetMode="External"/><Relationship Id="rId668" Type="http://schemas.openxmlformats.org/officeDocument/2006/relationships/hyperlink" Target="http://www.plants.usda.gov/java/profile?symbol=BEER" TargetMode="External"/><Relationship Id="rId875" Type="http://schemas.openxmlformats.org/officeDocument/2006/relationships/hyperlink" Target="http://www.plants.usda.gov/java/profile?symbol=CYVI" TargetMode="External"/><Relationship Id="rId1060" Type="http://schemas.openxmlformats.org/officeDocument/2006/relationships/hyperlink" Target="http://www.plants.usda.gov/java/profile?symbol=GAMO5" TargetMode="External"/><Relationship Id="rId1298" Type="http://schemas.openxmlformats.org/officeDocument/2006/relationships/hyperlink" Target="http://www.plants.usda.gov/java/profile?symbol=LOSPL" TargetMode="External"/><Relationship Id="rId2111" Type="http://schemas.openxmlformats.org/officeDocument/2006/relationships/hyperlink" Target="http://www.plants.usda.gov/java/profile?symbol=CASE12" TargetMode="External"/><Relationship Id="rId2349" Type="http://schemas.openxmlformats.org/officeDocument/2006/relationships/hyperlink" Target="http://www.plants.usda.gov/java/profile?symbol=RHLA" TargetMode="External"/><Relationship Id="rId2556" Type="http://schemas.openxmlformats.org/officeDocument/2006/relationships/hyperlink" Target="http://www.plants.usda.gov/java/profile?symbol=PAVI5" TargetMode="External"/><Relationship Id="rId528" Type="http://schemas.openxmlformats.org/officeDocument/2006/relationships/hyperlink" Target="http://www.plants.usda.gov/java/profile?symbol=ALTE" TargetMode="External"/><Relationship Id="rId735" Type="http://schemas.openxmlformats.org/officeDocument/2006/relationships/hyperlink" Target="http://www.plants.usda.gov/java/profile?symbol=CEAR4" TargetMode="External"/><Relationship Id="rId942" Type="http://schemas.openxmlformats.org/officeDocument/2006/relationships/hyperlink" Target="http://www.plants.usda.gov/java/profile?symbol=DRRO" TargetMode="External"/><Relationship Id="rId1158" Type="http://schemas.openxmlformats.org/officeDocument/2006/relationships/hyperlink" Target="http://www.plants.usda.gov/java/profile?symbol=HIKA2" TargetMode="External"/><Relationship Id="rId1365" Type="http://schemas.openxmlformats.org/officeDocument/2006/relationships/hyperlink" Target="http://www.plants.usda.gov/java/profile?symbol=MIMIM" TargetMode="External"/><Relationship Id="rId1572" Type="http://schemas.openxmlformats.org/officeDocument/2006/relationships/hyperlink" Target="http://www.plants.usda.gov/java/profile?symbol=PODO4" TargetMode="External"/><Relationship Id="rId2209" Type="http://schemas.openxmlformats.org/officeDocument/2006/relationships/hyperlink" Target="http://www.plants.usda.gov/java/profile?symbol=HEVIV" TargetMode="External"/><Relationship Id="rId2416" Type="http://schemas.openxmlformats.org/officeDocument/2006/relationships/hyperlink" Target="http://www.plants.usda.gov/java/profile?symbol=RUST7" TargetMode="External"/><Relationship Id="rId1018" Type="http://schemas.openxmlformats.org/officeDocument/2006/relationships/hyperlink" Target="http://www.plants.usda.gov/java/profile?symbol=EUDE4" TargetMode="External"/><Relationship Id="rId1225" Type="http://schemas.openxmlformats.org/officeDocument/2006/relationships/hyperlink" Target="http://www.plants.usda.gov/java/profile?symbol=LAPA4" TargetMode="External"/><Relationship Id="rId1432" Type="http://schemas.openxmlformats.org/officeDocument/2006/relationships/hyperlink" Target="http://www.plants.usda.gov/java/profile?symbol=OPPU3" TargetMode="External"/><Relationship Id="rId1877" Type="http://schemas.openxmlformats.org/officeDocument/2006/relationships/hyperlink" Target="http://www.plants.usda.gov/java/profile?symbol=SYLAL5" TargetMode="External"/><Relationship Id="rId71" Type="http://schemas.openxmlformats.org/officeDocument/2006/relationships/hyperlink" Target="http://www.plants.usda.gov/java/profile?symbol=CACE2" TargetMode="External"/><Relationship Id="rId802" Type="http://schemas.openxmlformats.org/officeDocument/2006/relationships/hyperlink" Target="http://www.plants.usda.gov/java/profile?symbol=CLVIV" TargetMode="External"/><Relationship Id="rId1737" Type="http://schemas.openxmlformats.org/officeDocument/2006/relationships/hyperlink" Target="http://www.plants.usda.gov/java/profile?symbol=SCINI2" TargetMode="External"/><Relationship Id="rId1944" Type="http://schemas.openxmlformats.org/officeDocument/2006/relationships/hyperlink" Target="http://www.plants.usda.gov/java/profile?symbol=URDIG" TargetMode="External"/><Relationship Id="rId29" Type="http://schemas.openxmlformats.org/officeDocument/2006/relationships/hyperlink" Target="http://www.plants.usda.gov/java/profile?symbol=BOGR2" TargetMode="External"/><Relationship Id="rId178" Type="http://schemas.openxmlformats.org/officeDocument/2006/relationships/hyperlink" Target="http://www.plants.usda.gov/java/profile?symbol=CATR8" TargetMode="External"/><Relationship Id="rId1804" Type="http://schemas.openxmlformats.org/officeDocument/2006/relationships/hyperlink" Target="http://www.plants.usda.gov/java/profile?symbol=SONE" TargetMode="External"/><Relationship Id="rId385" Type="http://schemas.openxmlformats.org/officeDocument/2006/relationships/hyperlink" Target="http://www.plants.usda.gov/java/profile?symbol=PAAN" TargetMode="External"/><Relationship Id="rId592" Type="http://schemas.openxmlformats.org/officeDocument/2006/relationships/hyperlink" Target="http://www.plants.usda.gov/java/profile?symbol=ARALA2" TargetMode="External"/><Relationship Id="rId2066" Type="http://schemas.openxmlformats.org/officeDocument/2006/relationships/hyperlink" Target="http://www.plants.usda.gov/java/profile?symbol=AGNE2" TargetMode="External"/><Relationship Id="rId2273" Type="http://schemas.openxmlformats.org/officeDocument/2006/relationships/hyperlink" Target="http://www.plants.usda.gov/java/profile?symbol=PHBI3" TargetMode="External"/><Relationship Id="rId2480" Type="http://schemas.openxmlformats.org/officeDocument/2006/relationships/hyperlink" Target="http://www.plants.usda.gov/java/profile?symbol=ULTH" TargetMode="External"/><Relationship Id="rId245" Type="http://schemas.openxmlformats.org/officeDocument/2006/relationships/hyperlink" Target="http://www.plants.usda.gov/java/profile?symbol=ECMU2" TargetMode="External"/><Relationship Id="rId452" Type="http://schemas.openxmlformats.org/officeDocument/2006/relationships/hyperlink" Target="http://www.plants.usda.gov/java/profile?symbol=SPNE2" TargetMode="External"/><Relationship Id="rId897" Type="http://schemas.openxmlformats.org/officeDocument/2006/relationships/hyperlink" Target="http://www.plants.usda.gov/java/profile?symbol=DAPU5" TargetMode="External"/><Relationship Id="rId1082" Type="http://schemas.openxmlformats.org/officeDocument/2006/relationships/hyperlink" Target="http://www.plants.usda.gov/java/profile?symbol=GELAT" TargetMode="External"/><Relationship Id="rId2133" Type="http://schemas.openxmlformats.org/officeDocument/2006/relationships/hyperlink" Target="http://www.plants.usda.gov/java/profile?symbol=CHUM" TargetMode="External"/><Relationship Id="rId2340" Type="http://schemas.openxmlformats.org/officeDocument/2006/relationships/hyperlink" Target="http://www.plants.usda.gov/java/profile?symbol=QUPA2" TargetMode="External"/><Relationship Id="rId2578" Type="http://schemas.openxmlformats.org/officeDocument/2006/relationships/hyperlink" Target="http://www.plants.usda.gov/java/profile?symbol=TORY" TargetMode="External"/><Relationship Id="rId105" Type="http://schemas.openxmlformats.org/officeDocument/2006/relationships/hyperlink" Target="http://www.plants.usda.gov/java/profile?symbol=CAGR24" TargetMode="External"/><Relationship Id="rId312" Type="http://schemas.openxmlformats.org/officeDocument/2006/relationships/hyperlink" Target="http://www.plants.usda.gov/java/profile?symbol=FUSIA" TargetMode="External"/><Relationship Id="rId757" Type="http://schemas.openxmlformats.org/officeDocument/2006/relationships/hyperlink" Target="http://www.plants.usda.gov/java/profile?symbol=CHST8" TargetMode="External"/><Relationship Id="rId964" Type="http://schemas.openxmlformats.org/officeDocument/2006/relationships/hyperlink" Target="http://www.plants.usda.gov/java/profile?symbol=ELNU2" TargetMode="External"/><Relationship Id="rId1387" Type="http://schemas.openxmlformats.org/officeDocument/2006/relationships/hyperlink" Target="http://www.plants.usda.gov/java/profile?symbol=MOCH" TargetMode="External"/><Relationship Id="rId1594" Type="http://schemas.openxmlformats.org/officeDocument/2006/relationships/hyperlink" Target="http://www.plants.usda.gov/java/profile?symbol=POCO14" TargetMode="External"/><Relationship Id="rId2200" Type="http://schemas.openxmlformats.org/officeDocument/2006/relationships/hyperlink" Target="http://www.plants.usda.gov/java/profile?symbol=GLTR" TargetMode="External"/><Relationship Id="rId2438" Type="http://schemas.openxmlformats.org/officeDocument/2006/relationships/hyperlink" Target="http://www.plants.usda.gov/java/profile?symbol=SANI4" TargetMode="External"/><Relationship Id="rId93" Type="http://schemas.openxmlformats.org/officeDocument/2006/relationships/hyperlink" Target="http://www.plants.usda.gov/java/profile?symbol=CAECE" TargetMode="External"/><Relationship Id="rId617" Type="http://schemas.openxmlformats.org/officeDocument/2006/relationships/hyperlink" Target="http://www.plants.usda.gov/java/profile?symbol=ASEX" TargetMode="External"/><Relationship Id="rId824" Type="http://schemas.openxmlformats.org/officeDocument/2006/relationships/hyperlink" Target="http://www.plants.usda.gov/java/profile?symbol=COODP2" TargetMode="External"/><Relationship Id="rId1247" Type="http://schemas.openxmlformats.org/officeDocument/2006/relationships/hyperlink" Target="http://www.plants.usda.gov/java/profile?symbol=LESI2" TargetMode="External"/><Relationship Id="rId1454" Type="http://schemas.openxmlformats.org/officeDocument/2006/relationships/hyperlink" Target="http://www.plants.usda.gov/java/profile?symbol=PAGL17" TargetMode="External"/><Relationship Id="rId1661" Type="http://schemas.openxmlformats.org/officeDocument/2006/relationships/hyperlink" Target="http://www.plants.usda.gov/java/profile?symbol=RAHIC" TargetMode="External"/><Relationship Id="rId1899" Type="http://schemas.openxmlformats.org/officeDocument/2006/relationships/hyperlink" Target="http://www.plants.usda.gov/java/profile?symbol=SYWO3" TargetMode="External"/><Relationship Id="rId2505" Type="http://schemas.openxmlformats.org/officeDocument/2006/relationships/hyperlink" Target="http://www.plants.usda.gov/java/profile?symbol=CASEA3" TargetMode="External"/><Relationship Id="rId1107" Type="http://schemas.openxmlformats.org/officeDocument/2006/relationships/hyperlink" Target="http://www.plants.usda.gov/java/profile?symbol=HEAM" TargetMode="External"/><Relationship Id="rId1314" Type="http://schemas.openxmlformats.org/officeDocument/2006/relationships/hyperlink" Target="http://www.plants.usda.gov/java/profile?symbol=LYIN2" TargetMode="External"/><Relationship Id="rId1521" Type="http://schemas.openxmlformats.org/officeDocument/2006/relationships/hyperlink" Target="http://www.plants.usda.gov/java/profile?symbol=PHVIV" TargetMode="External"/><Relationship Id="rId1759" Type="http://schemas.openxmlformats.org/officeDocument/2006/relationships/hyperlink" Target="http://www.plants.usda.gov/java/profile?symbol=SINI" TargetMode="External"/><Relationship Id="rId1966" Type="http://schemas.openxmlformats.org/officeDocument/2006/relationships/hyperlink" Target="http://www.plants.usda.gov/java/profile?symbol=VEPE4" TargetMode="External"/><Relationship Id="rId1619" Type="http://schemas.openxmlformats.org/officeDocument/2006/relationships/hyperlink" Target="http://www.plants.usda.gov/java/profile?symbol=POCAC2" TargetMode="External"/><Relationship Id="rId1826" Type="http://schemas.openxmlformats.org/officeDocument/2006/relationships/hyperlink" Target="http://www.plants.usda.gov/java/profile?symbol=SPLA4" TargetMode="External"/><Relationship Id="rId20" Type="http://schemas.openxmlformats.org/officeDocument/2006/relationships/hyperlink" Target="http://www.plants.usda.gov/java/profile?symbol=AROL" TargetMode="External"/><Relationship Id="rId2088" Type="http://schemas.openxmlformats.org/officeDocument/2006/relationships/hyperlink" Target="http://www.plants.usda.gov/java/profile?symbol=ARRA" TargetMode="External"/><Relationship Id="rId2295" Type="http://schemas.openxmlformats.org/officeDocument/2006/relationships/hyperlink" Target="http://www.plants.usda.gov/java/profile?symbol=PODE3" TargetMode="External"/><Relationship Id="rId267" Type="http://schemas.openxmlformats.org/officeDocument/2006/relationships/hyperlink" Target="http://www.plants.usda.gov/java/profile?symbol=ELTE" TargetMode="External"/><Relationship Id="rId474" Type="http://schemas.openxmlformats.org/officeDocument/2006/relationships/hyperlink" Target="http://www.plants.usda.gov/java/profile?symbol=ACGR2" TargetMode="External"/><Relationship Id="rId2155" Type="http://schemas.openxmlformats.org/officeDocument/2006/relationships/hyperlink" Target="http://www.plants.usda.gov/java/profile?symbol=CRCR2" TargetMode="External"/><Relationship Id="rId127" Type="http://schemas.openxmlformats.org/officeDocument/2006/relationships/hyperlink" Target="http://www.plants.usda.gov/java/profile?symbol=CALEL4" TargetMode="External"/><Relationship Id="rId681" Type="http://schemas.openxmlformats.org/officeDocument/2006/relationships/hyperlink" Target="http://www.plants.usda.gov/java/profile?symbol=BLHI" TargetMode="External"/><Relationship Id="rId779" Type="http://schemas.openxmlformats.org/officeDocument/2006/relationships/hyperlink" Target="http://www.plants.usda.gov/java/profile?symbol=CHAL24" TargetMode="External"/><Relationship Id="rId986" Type="http://schemas.openxmlformats.org/officeDocument/2006/relationships/hyperlink" Target="http://www.plants.usda.gov/java/profile?symbol=ERPHP" TargetMode="External"/><Relationship Id="rId2362" Type="http://schemas.openxmlformats.org/officeDocument/2006/relationships/hyperlink" Target="http://www.plants.usda.gov/java/profile?symbol=RIAU" TargetMode="External"/><Relationship Id="rId334" Type="http://schemas.openxmlformats.org/officeDocument/2006/relationships/hyperlink" Target="http://www.plants.usda.gov/java/profile?symbol=JUBUB" TargetMode="External"/><Relationship Id="rId541" Type="http://schemas.openxmlformats.org/officeDocument/2006/relationships/hyperlink" Target="http://www.plants.usda.gov/java/profile?symbol=AMPS" TargetMode="External"/><Relationship Id="rId639" Type="http://schemas.openxmlformats.org/officeDocument/2006/relationships/hyperlink" Target="http://www.plants.usda.gov/java/profile?symbol=ASCA11" TargetMode="External"/><Relationship Id="rId1171" Type="http://schemas.openxmlformats.org/officeDocument/2006/relationships/hyperlink" Target="http://www.plants.usda.gov/java/profile?symbol=HULUL" TargetMode="External"/><Relationship Id="rId1269" Type="http://schemas.openxmlformats.org/officeDocument/2006/relationships/hyperlink" Target="http://www.plants.usda.gov/java/profile?symbol=LIDU" TargetMode="External"/><Relationship Id="rId1476" Type="http://schemas.openxmlformats.org/officeDocument/2006/relationships/hyperlink" Target="http://www.plants.usda.gov/java/profile?symbol=PEAL2" TargetMode="External"/><Relationship Id="rId2015" Type="http://schemas.openxmlformats.org/officeDocument/2006/relationships/hyperlink" Target="http://www.plants.usda.gov/java/profile?symbol=VIPR4" TargetMode="External"/><Relationship Id="rId2222" Type="http://schemas.openxmlformats.org/officeDocument/2006/relationships/hyperlink" Target="http://www.plants.usda.gov/java/profile?symbol=JUHO2" TargetMode="External"/><Relationship Id="rId401" Type="http://schemas.openxmlformats.org/officeDocument/2006/relationships/hyperlink" Target="http://www.plants.usda.gov/java/profile?symbol=POAR3" TargetMode="External"/><Relationship Id="rId846" Type="http://schemas.openxmlformats.org/officeDocument/2006/relationships/hyperlink" Target="http://www.plants.usda.gov/java/profile?symbol=CRCA6" TargetMode="External"/><Relationship Id="rId1031" Type="http://schemas.openxmlformats.org/officeDocument/2006/relationships/hyperlink" Target="http://www.plants.usda.gov/java/profile?symbol=FRVE" TargetMode="External"/><Relationship Id="rId1129" Type="http://schemas.openxmlformats.org/officeDocument/2006/relationships/hyperlink" Target="http://www.plants.usda.gov/java/profile?symbol=HEPAP2" TargetMode="External"/><Relationship Id="rId1683" Type="http://schemas.openxmlformats.org/officeDocument/2006/relationships/hyperlink" Target="http://www.plants.usda.gov/java/profile?symbol=RUPU" TargetMode="External"/><Relationship Id="rId1890" Type="http://schemas.openxmlformats.org/officeDocument/2006/relationships/hyperlink" Target="http://www.plants.usda.gov/java/profile?symbol=SYPRP" TargetMode="External"/><Relationship Id="rId1988" Type="http://schemas.openxmlformats.org/officeDocument/2006/relationships/hyperlink" Target="http://www.plants.usda.gov/java/profile?symbol=VEAN2" TargetMode="External"/><Relationship Id="rId2527" Type="http://schemas.openxmlformats.org/officeDocument/2006/relationships/hyperlink" Target="http://www.plants.usda.gov/java/profile?symbol=CUGRG" TargetMode="External"/><Relationship Id="rId706" Type="http://schemas.openxmlformats.org/officeDocument/2006/relationships/hyperlink" Target="http://www.plants.usda.gov/java/profile?symbol=CATU5" TargetMode="External"/><Relationship Id="rId913" Type="http://schemas.openxmlformats.org/officeDocument/2006/relationships/hyperlink" Target="http://www.plants.usda.gov/java/profile?symbol=DECU" TargetMode="External"/><Relationship Id="rId1336" Type="http://schemas.openxmlformats.org/officeDocument/2006/relationships/hyperlink" Target="http://www.plants.usda.gov/java/profile?symbol=MAPI" TargetMode="External"/><Relationship Id="rId1543" Type="http://schemas.openxmlformats.org/officeDocument/2006/relationships/hyperlink" Target="http://www.plants.usda.gov/java/profile?symbol=PLLA2" TargetMode="External"/><Relationship Id="rId1750" Type="http://schemas.openxmlformats.org/officeDocument/2006/relationships/hyperlink" Target="http://www.plants.usda.gov/java/profile?symbol=SEIN2" TargetMode="External"/><Relationship Id="rId42" Type="http://schemas.openxmlformats.org/officeDocument/2006/relationships/hyperlink" Target="http://www.plants.usda.gov/java/profile?symbol=BUCA2" TargetMode="External"/><Relationship Id="rId1403" Type="http://schemas.openxmlformats.org/officeDocument/2006/relationships/hyperlink" Target="http://www.plants.usda.gov/java/profile?symbol=NELU" TargetMode="External"/><Relationship Id="rId1610" Type="http://schemas.openxmlformats.org/officeDocument/2006/relationships/hyperlink" Target="http://www.plants.usda.gov/java/profile?symbol=PORI2" TargetMode="External"/><Relationship Id="rId1848" Type="http://schemas.openxmlformats.org/officeDocument/2006/relationships/hyperlink" Target="http://www.plants.usda.gov/java/profile?symbol=STLE6" TargetMode="External"/><Relationship Id="rId191" Type="http://schemas.openxmlformats.org/officeDocument/2006/relationships/hyperlink" Target="http://www.plants.usda.gov/java/profile?symbol=CHLA5" TargetMode="External"/><Relationship Id="rId1708" Type="http://schemas.openxmlformats.org/officeDocument/2006/relationships/hyperlink" Target="http://www.plants.usda.gov/java/profile?symbol=SAAU2" TargetMode="External"/><Relationship Id="rId1915" Type="http://schemas.openxmlformats.org/officeDocument/2006/relationships/hyperlink" Target="http://www.plants.usda.gov/java/profile?symbol=TOAR" TargetMode="External"/><Relationship Id="rId289" Type="http://schemas.openxmlformats.org/officeDocument/2006/relationships/hyperlink" Target="http://www.plants.usda.gov/java/profile?symbol=ERFR" TargetMode="External"/><Relationship Id="rId496" Type="http://schemas.openxmlformats.org/officeDocument/2006/relationships/hyperlink" Target="http://www.plants.usda.gov/java/profile?symbol=AGPA12" TargetMode="External"/><Relationship Id="rId2177" Type="http://schemas.openxmlformats.org/officeDocument/2006/relationships/hyperlink" Target="http://www.plants.usda.gov/java/profile?symbol=DILO" TargetMode="External"/><Relationship Id="rId2384" Type="http://schemas.openxmlformats.org/officeDocument/2006/relationships/hyperlink" Target="http://www.plants.usda.gov/java/profile?symbol=ROSE2" TargetMode="External"/><Relationship Id="rId149" Type="http://schemas.openxmlformats.org/officeDocument/2006/relationships/hyperlink" Target="http://www.plants.usda.gov/java/profile?symbol=CAPR5" TargetMode="External"/><Relationship Id="rId356" Type="http://schemas.openxmlformats.org/officeDocument/2006/relationships/hyperlink" Target="http://www.plants.usda.gov/java/profile?symbol=LIDR3" TargetMode="External"/><Relationship Id="rId563" Type="http://schemas.openxmlformats.org/officeDocument/2006/relationships/hyperlink" Target="http://www.plants.usda.gov/java/profile?symbol=ANCR2" TargetMode="External"/><Relationship Id="rId770" Type="http://schemas.openxmlformats.org/officeDocument/2006/relationships/hyperlink" Target="http://www.plants.usda.gov/java/profile?symbol=CHBEZ" TargetMode="External"/><Relationship Id="rId1193" Type="http://schemas.openxmlformats.org/officeDocument/2006/relationships/hyperlink" Target="http://www.plants.usda.gov/java/profile?symbol=IMCA" TargetMode="External"/><Relationship Id="rId2037" Type="http://schemas.openxmlformats.org/officeDocument/2006/relationships/hyperlink" Target="http://www.plants.usda.gov/java/profile?symbol=XASTG" TargetMode="External"/><Relationship Id="rId2244" Type="http://schemas.openxmlformats.org/officeDocument/2006/relationships/hyperlink" Target="http://www.plants.usda.gov/java/profile?symbol=MAIO" TargetMode="External"/><Relationship Id="rId2451" Type="http://schemas.openxmlformats.org/officeDocument/2006/relationships/hyperlink" Target="http://www.plants.usda.gov/java/profile?symbol=SOCAC4" TargetMode="External"/><Relationship Id="rId216" Type="http://schemas.openxmlformats.org/officeDocument/2006/relationships/hyperlink" Target="http://www.plants.usda.gov/java/profile?symbol=DIDI6" TargetMode="External"/><Relationship Id="rId423" Type="http://schemas.openxmlformats.org/officeDocument/2006/relationships/hyperlink" Target="http://www.plants.usda.gov/java/profile?symbol=SCOB10" TargetMode="External"/><Relationship Id="rId868" Type="http://schemas.openxmlformats.org/officeDocument/2006/relationships/hyperlink" Target="http://www.plants.usda.gov/java/profile?symbol=CUINN" TargetMode="External"/><Relationship Id="rId1053" Type="http://schemas.openxmlformats.org/officeDocument/2006/relationships/hyperlink" Target="http://www.plants.usda.gov/java/profile?symbol=GATR2" TargetMode="External"/><Relationship Id="rId1260" Type="http://schemas.openxmlformats.org/officeDocument/2006/relationships/hyperlink" Target="http://www.plants.usda.gov/java/profile?symbol=LIPYP" TargetMode="External"/><Relationship Id="rId1498" Type="http://schemas.openxmlformats.org/officeDocument/2006/relationships/hyperlink" Target="http://www.plants.usda.gov/java/profile?symbol=PHPI" TargetMode="External"/><Relationship Id="rId2104" Type="http://schemas.openxmlformats.org/officeDocument/2006/relationships/hyperlink" Target="http://www.plants.usda.gov/java/profile?symbol=BEPAC2" TargetMode="External"/><Relationship Id="rId2549" Type="http://schemas.openxmlformats.org/officeDocument/2006/relationships/hyperlink" Target="http://www.plants.usda.gov/java/profile?symbol=LAPA4" TargetMode="External"/><Relationship Id="rId630" Type="http://schemas.openxmlformats.org/officeDocument/2006/relationships/hyperlink" Target="http://www.plants.usda.gov/java/profile?symbol=ASSY" TargetMode="External"/><Relationship Id="rId728" Type="http://schemas.openxmlformats.org/officeDocument/2006/relationships/hyperlink" Target="http://www.plants.usda.gov/java/profile?symbol=CAPA12" TargetMode="External"/><Relationship Id="rId935" Type="http://schemas.openxmlformats.org/officeDocument/2006/relationships/hyperlink" Target="http://www.plants.usda.gov/java/profile?symbol=DOMEM3" TargetMode="External"/><Relationship Id="rId1358" Type="http://schemas.openxmlformats.org/officeDocument/2006/relationships/hyperlink" Target="http://www.plants.usda.gov/java/profile?symbol=MINU6" TargetMode="External"/><Relationship Id="rId1565" Type="http://schemas.openxmlformats.org/officeDocument/2006/relationships/hyperlink" Target="http://www.plants.usda.gov/java/profile?symbol=POAR4" TargetMode="External"/><Relationship Id="rId1772" Type="http://schemas.openxmlformats.org/officeDocument/2006/relationships/hyperlink" Target="http://www.plants.usda.gov/java/profile?symbol=SITET" TargetMode="External"/><Relationship Id="rId2311" Type="http://schemas.openxmlformats.org/officeDocument/2006/relationships/hyperlink" Target="http://www.plants.usda.gov/java/profile?symbol=PRPUB" TargetMode="External"/><Relationship Id="rId2409" Type="http://schemas.openxmlformats.org/officeDocument/2006/relationships/hyperlink" Target="http://www.plants.usda.gov/java/profile?symbol=RUPU" TargetMode="External"/><Relationship Id="rId64" Type="http://schemas.openxmlformats.org/officeDocument/2006/relationships/hyperlink" Target="http://www.plants.usda.gov/java/profile?symbol=CABE2" TargetMode="External"/><Relationship Id="rId1120" Type="http://schemas.openxmlformats.org/officeDocument/2006/relationships/hyperlink" Target="http://www.plants.usda.gov/java/profile?symbol=HEIN2" TargetMode="External"/><Relationship Id="rId1218" Type="http://schemas.openxmlformats.org/officeDocument/2006/relationships/hyperlink" Target="http://www.plants.usda.gov/java/profile?symbol=LATA" TargetMode="External"/><Relationship Id="rId1425" Type="http://schemas.openxmlformats.org/officeDocument/2006/relationships/hyperlink" Target="http://www.plants.usda.gov/java/profile?symbol=OLRI" TargetMode="External"/><Relationship Id="rId1632" Type="http://schemas.openxmlformats.org/officeDocument/2006/relationships/hyperlink" Target="http://www.plants.usda.gov/java/profile?symbol=PRMI" TargetMode="External"/><Relationship Id="rId1937" Type="http://schemas.openxmlformats.org/officeDocument/2006/relationships/hyperlink" Target="http://www.plants.usda.gov/java/profile?symbol=TRAUI" TargetMode="External"/><Relationship Id="rId2199" Type="http://schemas.openxmlformats.org/officeDocument/2006/relationships/hyperlink" Target="http://www.plants.usda.gov/java/profile?symbol=GABA" TargetMode="External"/><Relationship Id="rId280" Type="http://schemas.openxmlformats.org/officeDocument/2006/relationships/hyperlink" Target="http://www.plants.usda.gov/java/profile?symbol=ELSU" TargetMode="External"/><Relationship Id="rId140" Type="http://schemas.openxmlformats.org/officeDocument/2006/relationships/hyperlink" Target="http://www.plants.usda.gov/java/profile?symbol=CANO" TargetMode="External"/><Relationship Id="rId378" Type="http://schemas.openxmlformats.org/officeDocument/2006/relationships/hyperlink" Target="http://www.plants.usda.gov/java/profile?symbol=MUSC" TargetMode="External"/><Relationship Id="rId585" Type="http://schemas.openxmlformats.org/officeDocument/2006/relationships/hyperlink" Target="http://www.plants.usda.gov/java/profile?symbol=ARLY2" TargetMode="External"/><Relationship Id="rId792" Type="http://schemas.openxmlformats.org/officeDocument/2006/relationships/hyperlink" Target="http://www.plants.usda.gov/java/profile?symbol=CIAL2" TargetMode="External"/><Relationship Id="rId2059" Type="http://schemas.openxmlformats.org/officeDocument/2006/relationships/hyperlink" Target="http://www.plants.usda.gov/java/profile?symbol=ACSAS" TargetMode="External"/><Relationship Id="rId2266" Type="http://schemas.openxmlformats.org/officeDocument/2006/relationships/hyperlink" Target="http://www.plants.usda.gov/java/profile?symbol=OXAL" TargetMode="External"/><Relationship Id="rId2473" Type="http://schemas.openxmlformats.org/officeDocument/2006/relationships/hyperlink" Target="http://www.plants.usda.gov/java/profile?symbol=TIAMA" TargetMode="External"/><Relationship Id="rId6" Type="http://schemas.openxmlformats.org/officeDocument/2006/relationships/hyperlink" Target="http://www.plants.usda.gov/java/profile?symbol=ALAE" TargetMode="External"/><Relationship Id="rId238" Type="http://schemas.openxmlformats.org/officeDocument/2006/relationships/hyperlink" Target="http://www.plants.usda.gov/java/profile?symbol=DICI" TargetMode="External"/><Relationship Id="rId445" Type="http://schemas.openxmlformats.org/officeDocument/2006/relationships/hyperlink" Target="http://www.plants.usda.gov/java/profile?symbol=SPOB" TargetMode="External"/><Relationship Id="rId652" Type="http://schemas.openxmlformats.org/officeDocument/2006/relationships/hyperlink" Target="http://www.plants.usda.gov/java/profile?symbol=ATFI" TargetMode="External"/><Relationship Id="rId1075" Type="http://schemas.openxmlformats.org/officeDocument/2006/relationships/hyperlink" Target="http://www.plants.usda.gov/java/profile?symbol=GECA5" TargetMode="External"/><Relationship Id="rId1282" Type="http://schemas.openxmlformats.org/officeDocument/2006/relationships/hyperlink" Target="http://www.plants.usda.gov/java/profile?symbol=LILI3" TargetMode="External"/><Relationship Id="rId2126" Type="http://schemas.openxmlformats.org/officeDocument/2006/relationships/hyperlink" Target="http://www.plants.usda.gov/java/profile?symbol=CEAM" TargetMode="External"/><Relationship Id="rId2333" Type="http://schemas.openxmlformats.org/officeDocument/2006/relationships/hyperlink" Target="http://www.plants.usda.gov/java/profile?symbol=QULE" TargetMode="External"/><Relationship Id="rId2540" Type="http://schemas.openxmlformats.org/officeDocument/2006/relationships/hyperlink" Target="http://www.plants.usda.gov/java/profile?symbol=GATR3" TargetMode="External"/><Relationship Id="rId305" Type="http://schemas.openxmlformats.org/officeDocument/2006/relationships/hyperlink" Target="http://www.plants.usda.gov/java/profile?symbol=FERU2" TargetMode="External"/><Relationship Id="rId512" Type="http://schemas.openxmlformats.org/officeDocument/2006/relationships/hyperlink" Target="http://www.plants.usda.gov/java/profile?symbol=AGPA6" TargetMode="External"/><Relationship Id="rId957" Type="http://schemas.openxmlformats.org/officeDocument/2006/relationships/hyperlink" Target="http://www.plants.usda.gov/java/profile?symbol=ECLO" TargetMode="External"/><Relationship Id="rId1142" Type="http://schemas.openxmlformats.org/officeDocument/2006/relationships/hyperlink" Target="http://www.plants.usda.gov/java/profile?symbol=HEMA80" TargetMode="External"/><Relationship Id="rId1587" Type="http://schemas.openxmlformats.org/officeDocument/2006/relationships/hyperlink" Target="http://www.plants.usda.gov/java/profile?symbol=POTE2" TargetMode="External"/><Relationship Id="rId1794" Type="http://schemas.openxmlformats.org/officeDocument/2006/relationships/hyperlink" Target="http://www.plants.usda.gov/java/profile?symbol=SOCAG" TargetMode="External"/><Relationship Id="rId2400" Type="http://schemas.openxmlformats.org/officeDocument/2006/relationships/hyperlink" Target="http://www.plants.usda.gov/java/profile?symbol=RULA6" TargetMode="External"/><Relationship Id="rId86" Type="http://schemas.openxmlformats.org/officeDocument/2006/relationships/hyperlink" Target="http://www.plants.usda.gov/java/profile?symbol=CADE9" TargetMode="External"/><Relationship Id="rId817" Type="http://schemas.openxmlformats.org/officeDocument/2006/relationships/hyperlink" Target="http://www.plants.usda.gov/java/profile?symbol=COCA5" TargetMode="External"/><Relationship Id="rId1002" Type="http://schemas.openxmlformats.org/officeDocument/2006/relationships/hyperlink" Target="http://www.plants.usda.gov/java/profile?symbol=EUMA12" TargetMode="External"/><Relationship Id="rId1447" Type="http://schemas.openxmlformats.org/officeDocument/2006/relationships/hyperlink" Target="http://www.plants.usda.gov/java/profile?symbol=OXDI2" TargetMode="External"/><Relationship Id="rId1654" Type="http://schemas.openxmlformats.org/officeDocument/2006/relationships/hyperlink" Target="http://www.plants.usda.gov/java/profile?symbol=RAAC3" TargetMode="External"/><Relationship Id="rId1861" Type="http://schemas.openxmlformats.org/officeDocument/2006/relationships/hyperlink" Target="http://www.plants.usda.gov/java/profile?symbol=SYDU2" TargetMode="External"/><Relationship Id="rId1307" Type="http://schemas.openxmlformats.org/officeDocument/2006/relationships/hyperlink" Target="http://www.plants.usda.gov/java/profile?symbol=LUPA" TargetMode="External"/><Relationship Id="rId1514" Type="http://schemas.openxmlformats.org/officeDocument/2006/relationships/hyperlink" Target="http://www.plants.usda.gov/java/profile?symbol=PHPUP4" TargetMode="External"/><Relationship Id="rId1721" Type="http://schemas.openxmlformats.org/officeDocument/2006/relationships/hyperlink" Target="http://www.plants.usda.gov/java/profile?symbol=SARE3" TargetMode="External"/><Relationship Id="rId1959" Type="http://schemas.openxmlformats.org/officeDocument/2006/relationships/hyperlink" Target="http://www.plants.usda.gov/java/profile?symbol=VEDE2" TargetMode="External"/><Relationship Id="rId13" Type="http://schemas.openxmlformats.org/officeDocument/2006/relationships/hyperlink" Target="http://www.plants.usda.gov/java/profile?symbol=ARBA2" TargetMode="External"/><Relationship Id="rId1819" Type="http://schemas.openxmlformats.org/officeDocument/2006/relationships/hyperlink" Target="http://www.plants.usda.gov/java/profile?symbol=SPEM2" TargetMode="External"/><Relationship Id="rId2190" Type="http://schemas.openxmlformats.org/officeDocument/2006/relationships/hyperlink" Target="http://www.plants.usda.gov/java/profile?symbol=FRAM2" TargetMode="External"/><Relationship Id="rId2288" Type="http://schemas.openxmlformats.org/officeDocument/2006/relationships/hyperlink" Target="http://www.plants.usda.gov/java/profile?symbol=PLOC" TargetMode="External"/><Relationship Id="rId2495" Type="http://schemas.openxmlformats.org/officeDocument/2006/relationships/hyperlink" Target="http://www.plants.usda.gov/about_adv_search.html" TargetMode="External"/><Relationship Id="rId162" Type="http://schemas.openxmlformats.org/officeDocument/2006/relationships/hyperlink" Target="http://www.plants.usda.gov/java/profile?symbol=CASI12" TargetMode="External"/><Relationship Id="rId467" Type="http://schemas.openxmlformats.org/officeDocument/2006/relationships/hyperlink" Target="http://www.plants.usda.gov/java/profile?symbol=ZIAQA2" TargetMode="External"/><Relationship Id="rId1097" Type="http://schemas.openxmlformats.org/officeDocument/2006/relationships/hyperlink" Target="http://www.plants.usda.gov/java/profile?symbol=GYIN" TargetMode="External"/><Relationship Id="rId2050" Type="http://schemas.openxmlformats.org/officeDocument/2006/relationships/hyperlink" Target="http://www.plants.usda.gov/java/profile?symbol=ABBAB" TargetMode="External"/><Relationship Id="rId2148" Type="http://schemas.openxmlformats.org/officeDocument/2006/relationships/hyperlink" Target="http://www.plants.usda.gov/java/profile?symbol=COAM3" TargetMode="External"/><Relationship Id="rId674" Type="http://schemas.openxmlformats.org/officeDocument/2006/relationships/hyperlink" Target="http://www.plants.usda.gov/java/profile?symbol=BICO5" TargetMode="External"/><Relationship Id="rId881" Type="http://schemas.openxmlformats.org/officeDocument/2006/relationships/hyperlink" Target="http://www.plants.usda.gov/java/profile?symbol=CYPA19" TargetMode="External"/><Relationship Id="rId979" Type="http://schemas.openxmlformats.org/officeDocument/2006/relationships/hyperlink" Target="http://www.plants.usda.gov/java/profile?symbol=EQPR" TargetMode="External"/><Relationship Id="rId2355" Type="http://schemas.openxmlformats.org/officeDocument/2006/relationships/hyperlink" Target="http://www.plants.usda.gov/java/profile?symbol=RHCO" TargetMode="External"/><Relationship Id="rId2562" Type="http://schemas.openxmlformats.org/officeDocument/2006/relationships/hyperlink" Target="http://www.plants.usda.gov/java/profile?symbol=POSCD" TargetMode="External"/><Relationship Id="rId327" Type="http://schemas.openxmlformats.org/officeDocument/2006/relationships/hyperlink" Target="http://www.plants.usda.gov/java/profile?symbol=JUAC" TargetMode="External"/><Relationship Id="rId534" Type="http://schemas.openxmlformats.org/officeDocument/2006/relationships/hyperlink" Target="http://www.plants.usda.gov/java/profile?symbol=AMRE" TargetMode="External"/><Relationship Id="rId741" Type="http://schemas.openxmlformats.org/officeDocument/2006/relationships/hyperlink" Target="http://www.plants.usda.gov/java/profile?symbol=CENUN" TargetMode="External"/><Relationship Id="rId839" Type="http://schemas.openxmlformats.org/officeDocument/2006/relationships/hyperlink" Target="http://www.plants.usda.gov/java/profile?symbol=COFL3" TargetMode="External"/><Relationship Id="rId1164" Type="http://schemas.openxmlformats.org/officeDocument/2006/relationships/hyperlink" Target="http://www.plants.usda.gov/java/profile?symbol=HISCS" TargetMode="External"/><Relationship Id="rId1371" Type="http://schemas.openxmlformats.org/officeDocument/2006/relationships/hyperlink" Target="http://www.plants.usda.gov/java/profile?symbol=MINU3" TargetMode="External"/><Relationship Id="rId1469" Type="http://schemas.openxmlformats.org/officeDocument/2006/relationships/hyperlink" Target="http://www.plants.usda.gov/java/profile?symbol=PELA2" TargetMode="External"/><Relationship Id="rId2008" Type="http://schemas.openxmlformats.org/officeDocument/2006/relationships/hyperlink" Target="http://www.plants.usda.gov/java/profile?symbol=VILAL" TargetMode="External"/><Relationship Id="rId2215" Type="http://schemas.openxmlformats.org/officeDocument/2006/relationships/hyperlink" Target="http://www.plants.usda.gov/java/profile?symbol=HYPR" TargetMode="External"/><Relationship Id="rId2422" Type="http://schemas.openxmlformats.org/officeDocument/2006/relationships/hyperlink" Target="http://www.plants.usda.gov/java/profile?symbol=SAAM2" TargetMode="External"/><Relationship Id="rId601" Type="http://schemas.openxmlformats.org/officeDocument/2006/relationships/hyperlink" Target="http://www.plants.usda.gov/java/profile?symbol=ARAT" TargetMode="External"/><Relationship Id="rId1024" Type="http://schemas.openxmlformats.org/officeDocument/2006/relationships/hyperlink" Target="http://www.plants.usda.gov/java/profile?symbol=EUMA27" TargetMode="External"/><Relationship Id="rId1231" Type="http://schemas.openxmlformats.org/officeDocument/2006/relationships/hyperlink" Target="http://www.plants.usda.gov/java/profile?symbol=LEST" TargetMode="External"/><Relationship Id="rId1676" Type="http://schemas.openxmlformats.org/officeDocument/2006/relationships/hyperlink" Target="http://www.plants.usda.gov/java/profile?symbol=RHVI" TargetMode="External"/><Relationship Id="rId1883" Type="http://schemas.openxmlformats.org/officeDocument/2006/relationships/hyperlink" Target="http://www.plants.usda.gov/java/profile?symbol=SYOO" TargetMode="External"/><Relationship Id="rId906" Type="http://schemas.openxmlformats.org/officeDocument/2006/relationships/hyperlink" Target="http://www.plants.usda.gov/java/profile?symbol=DETR" TargetMode="External"/><Relationship Id="rId1329" Type="http://schemas.openxmlformats.org/officeDocument/2006/relationships/hyperlink" Target="http://www.plants.usda.gov/java/profile?symbol=LYTE2" TargetMode="External"/><Relationship Id="rId1536" Type="http://schemas.openxmlformats.org/officeDocument/2006/relationships/hyperlink" Target="http://www.plants.usda.gov/java/profile?symbol=PLCL" TargetMode="External"/><Relationship Id="rId1743" Type="http://schemas.openxmlformats.org/officeDocument/2006/relationships/hyperlink" Target="http://www.plants.usda.gov/java/profile?symbol=SCPA7" TargetMode="External"/><Relationship Id="rId1950" Type="http://schemas.openxmlformats.org/officeDocument/2006/relationships/hyperlink" Target="http://www.plants.usda.gov/java/profile?symbol=UVGR" TargetMode="External"/><Relationship Id="rId35" Type="http://schemas.openxmlformats.org/officeDocument/2006/relationships/hyperlink" Target="http://www.plants.usda.gov/java/profile?symbol=BRCIC3" TargetMode="External"/><Relationship Id="rId1603" Type="http://schemas.openxmlformats.org/officeDocument/2006/relationships/hyperlink" Target="http://www.plants.usda.gov/java/profile?symbol=POIL" TargetMode="External"/><Relationship Id="rId1810" Type="http://schemas.openxmlformats.org/officeDocument/2006/relationships/hyperlink" Target="http://www.plants.usda.gov/java/profile?symbol=SOSP2" TargetMode="External"/><Relationship Id="rId184" Type="http://schemas.openxmlformats.org/officeDocument/2006/relationships/hyperlink" Target="http://www.plants.usda.gov/java/profile?symbol=CAVEM2" TargetMode="External"/><Relationship Id="rId391" Type="http://schemas.openxmlformats.org/officeDocument/2006/relationships/hyperlink" Target="http://www.plants.usda.gov/java/profile?symbol=PAHI3" TargetMode="External"/><Relationship Id="rId1908" Type="http://schemas.openxmlformats.org/officeDocument/2006/relationships/hyperlink" Target="http://www.plants.usda.gov/java/profile?symbol=THDI" TargetMode="External"/><Relationship Id="rId2072" Type="http://schemas.openxmlformats.org/officeDocument/2006/relationships/hyperlink" Target="http://www.plants.usda.gov/java/profile?symbol=AMTRT2" TargetMode="External"/><Relationship Id="rId251" Type="http://schemas.openxmlformats.org/officeDocument/2006/relationships/hyperlink" Target="http://www.plants.usda.gov/java/profile?symbol=ELAT" TargetMode="External"/><Relationship Id="rId489" Type="http://schemas.openxmlformats.org/officeDocument/2006/relationships/hyperlink" Target="http://www.plants.usda.gov/java/profile?symbol=ACRUR2" TargetMode="External"/><Relationship Id="rId696" Type="http://schemas.openxmlformats.org/officeDocument/2006/relationships/hyperlink" Target="http://www.plants.usda.gov/java/profile?symbol=BREUC" TargetMode="External"/><Relationship Id="rId2377" Type="http://schemas.openxmlformats.org/officeDocument/2006/relationships/hyperlink" Target="http://www.plants.usda.gov/java/profile?symbol=ROBL" TargetMode="External"/><Relationship Id="rId2584" Type="http://schemas.openxmlformats.org/officeDocument/2006/relationships/hyperlink" Target="http://www.plants.usda.gov/java/profile?symbol=VIAEB" TargetMode="External"/><Relationship Id="rId349" Type="http://schemas.openxmlformats.org/officeDocument/2006/relationships/hyperlink" Target="http://www.plants.usda.gov/java/profile?symbol=KOMA" TargetMode="External"/><Relationship Id="rId556" Type="http://schemas.openxmlformats.org/officeDocument/2006/relationships/hyperlink" Target="http://www.plants.usda.gov/java/profile?symbol=ANCA9" TargetMode="External"/><Relationship Id="rId763" Type="http://schemas.openxmlformats.org/officeDocument/2006/relationships/hyperlink" Target="http://www.plants.usda.gov/java/profile?symbol=CHOBS" TargetMode="External"/><Relationship Id="rId1186" Type="http://schemas.openxmlformats.org/officeDocument/2006/relationships/hyperlink" Target="http://www.plants.usda.gov/java/profile?symbol=HYEL" TargetMode="External"/><Relationship Id="rId1393" Type="http://schemas.openxmlformats.org/officeDocument/2006/relationships/hyperlink" Target="http://www.plants.usda.gov/java/profile?symbol=MYVE3" TargetMode="External"/><Relationship Id="rId2237" Type="http://schemas.openxmlformats.org/officeDocument/2006/relationships/hyperlink" Target="http://www.plants.usda.gov/java/profile?symbol=LYAL4" TargetMode="External"/><Relationship Id="rId2444" Type="http://schemas.openxmlformats.org/officeDocument/2006/relationships/hyperlink" Target="http://www.plants.usda.gov/java/profile?symbol=SEMA11" TargetMode="External"/><Relationship Id="rId111" Type="http://schemas.openxmlformats.org/officeDocument/2006/relationships/hyperlink" Target="http://www.plants.usda.gov/java/profile?symbol=CAHY4" TargetMode="External"/><Relationship Id="rId209" Type="http://schemas.openxmlformats.org/officeDocument/2006/relationships/hyperlink" Target="http://www.plants.usda.gov/java/profile?symbol=DIACA" TargetMode="External"/><Relationship Id="rId416" Type="http://schemas.openxmlformats.org/officeDocument/2006/relationships/hyperlink" Target="http://www.plants.usda.gov/java/profile?symbol=SCSCS" TargetMode="External"/><Relationship Id="rId970" Type="http://schemas.openxmlformats.org/officeDocument/2006/relationships/hyperlink" Target="http://www.plants.usda.gov/java/profile?symbol=EPST" TargetMode="External"/><Relationship Id="rId1046" Type="http://schemas.openxmlformats.org/officeDocument/2006/relationships/hyperlink" Target="http://www.plants.usda.gov/java/profile?symbol=GACI2" TargetMode="External"/><Relationship Id="rId1253" Type="http://schemas.openxmlformats.org/officeDocument/2006/relationships/hyperlink" Target="http://www.plants.usda.gov/java/profile?symbol=LIASA" TargetMode="External"/><Relationship Id="rId1698" Type="http://schemas.openxmlformats.org/officeDocument/2006/relationships/hyperlink" Target="http://www.plants.usda.gov/java/profile?symbol=RUOR2" TargetMode="External"/><Relationship Id="rId623" Type="http://schemas.openxmlformats.org/officeDocument/2006/relationships/hyperlink" Target="http://www.plants.usda.gov/java/profile?symbol=ASOV" TargetMode="External"/><Relationship Id="rId830" Type="http://schemas.openxmlformats.org/officeDocument/2006/relationships/hyperlink" Target="http://www.plants.usda.gov/java/profile?symbol=COTIT" TargetMode="External"/><Relationship Id="rId928" Type="http://schemas.openxmlformats.org/officeDocument/2006/relationships/hyperlink" Target="http://www.plants.usda.gov/java/profile?symbol=DITET" TargetMode="External"/><Relationship Id="rId1460" Type="http://schemas.openxmlformats.org/officeDocument/2006/relationships/hyperlink" Target="http://www.plants.usda.gov/java/profile?symbol=PAPE5" TargetMode="External"/><Relationship Id="rId1558" Type="http://schemas.openxmlformats.org/officeDocument/2006/relationships/hyperlink" Target="http://www.plants.usda.gov/java/profile?symbol=POSA3" TargetMode="External"/><Relationship Id="rId1765" Type="http://schemas.openxmlformats.org/officeDocument/2006/relationships/hyperlink" Target="http://www.plants.usda.gov/java/profile?symbol=SIINI" TargetMode="External"/><Relationship Id="rId2304" Type="http://schemas.openxmlformats.org/officeDocument/2006/relationships/hyperlink" Target="http://www.plants.usda.gov/java/profile?symbol=PRAM" TargetMode="External"/><Relationship Id="rId2511" Type="http://schemas.openxmlformats.org/officeDocument/2006/relationships/hyperlink" Target="http://www.plants.usda.gov/java/profile?symbol=CARA2" TargetMode="External"/><Relationship Id="rId57" Type="http://schemas.openxmlformats.org/officeDocument/2006/relationships/hyperlink" Target="http://www.plants.usda.gov/java/profile?symbol=CAAN6" TargetMode="External"/><Relationship Id="rId1113" Type="http://schemas.openxmlformats.org/officeDocument/2006/relationships/hyperlink" Target="http://www.plants.usda.gov/java/profile?symbol=HEAN3" TargetMode="External"/><Relationship Id="rId1320" Type="http://schemas.openxmlformats.org/officeDocument/2006/relationships/hyperlink" Target="http://www.plants.usda.gov/java/profile?symbol=LYSH2" TargetMode="External"/><Relationship Id="rId1418" Type="http://schemas.openxmlformats.org/officeDocument/2006/relationships/hyperlink" Target="http://www.plants.usda.gov/java/profile?symbol=OEPIP" TargetMode="External"/><Relationship Id="rId1972" Type="http://schemas.openxmlformats.org/officeDocument/2006/relationships/hyperlink" Target="http://www.plants.usda.gov/java/profile?symbol=VEURU" TargetMode="External"/><Relationship Id="rId1625" Type="http://schemas.openxmlformats.org/officeDocument/2006/relationships/hyperlink" Target="http://www.plants.usda.gov/java/profile?symbol=PORI3" TargetMode="External"/><Relationship Id="rId1832" Type="http://schemas.openxmlformats.org/officeDocument/2006/relationships/hyperlink" Target="http://www.plants.usda.gov/java/profile?symbol=SPOVE" TargetMode="External"/><Relationship Id="rId2094" Type="http://schemas.openxmlformats.org/officeDocument/2006/relationships/hyperlink" Target="http://www.plants.usda.gov/java/profile?symbol=ARLUL2" TargetMode="External"/><Relationship Id="rId273" Type="http://schemas.openxmlformats.org/officeDocument/2006/relationships/hyperlink" Target="http://www.plants.usda.gov/java/profile?symbol=ELCA4" TargetMode="External"/><Relationship Id="rId480" Type="http://schemas.openxmlformats.org/officeDocument/2006/relationships/hyperlink" Target="http://www.plants.usda.gov/java/profile?symbol=ACCO4" TargetMode="External"/><Relationship Id="rId2161" Type="http://schemas.openxmlformats.org/officeDocument/2006/relationships/hyperlink" Target="http://www.plants.usda.gov/java/profile?symbol=CRSU5" TargetMode="External"/><Relationship Id="rId2399" Type="http://schemas.openxmlformats.org/officeDocument/2006/relationships/hyperlink" Target="http://www.plants.usda.gov/java/profile?symbol=RUIT" TargetMode="External"/><Relationship Id="rId133" Type="http://schemas.openxmlformats.org/officeDocument/2006/relationships/hyperlink" Target="http://www.plants.usda.gov/java/profile?symbol=CAME13" TargetMode="External"/><Relationship Id="rId340" Type="http://schemas.openxmlformats.org/officeDocument/2006/relationships/hyperlink" Target="http://www.plants.usda.gov/java/profile?symbol=JUIN2" TargetMode="External"/><Relationship Id="rId578" Type="http://schemas.openxmlformats.org/officeDocument/2006/relationships/hyperlink" Target="http://www.plants.usda.gov/java/profile?symbol=ARDI2" TargetMode="External"/><Relationship Id="rId785" Type="http://schemas.openxmlformats.org/officeDocument/2006/relationships/hyperlink" Target="http://www.plants.usda.gov/java/profile?symbol=CIMAB" TargetMode="External"/><Relationship Id="rId992" Type="http://schemas.openxmlformats.org/officeDocument/2006/relationships/hyperlink" Target="http://www.plants.usda.gov/java/profile?symbol=ERYUY" TargetMode="External"/><Relationship Id="rId2021" Type="http://schemas.openxmlformats.org/officeDocument/2006/relationships/hyperlink" Target="http://www.plants.usda.gov/java/profile?symbol=VISAS5" TargetMode="External"/><Relationship Id="rId2259" Type="http://schemas.openxmlformats.org/officeDocument/2006/relationships/hyperlink" Target="http://www.plants.usda.gov/java/profile?symbol=OPFR" TargetMode="External"/><Relationship Id="rId2466" Type="http://schemas.openxmlformats.org/officeDocument/2006/relationships/hyperlink" Target="http://www.plants.usda.gov/java/profile?symbol=SYPU" TargetMode="External"/><Relationship Id="rId200" Type="http://schemas.openxmlformats.org/officeDocument/2006/relationships/hyperlink" Target="http://www.plants.usda.gov/java/profile?symbol=CYLUL" TargetMode="External"/><Relationship Id="rId438" Type="http://schemas.openxmlformats.org/officeDocument/2006/relationships/hyperlink" Target="http://www.plants.usda.gov/java/profile?symbol=SCVE2" TargetMode="External"/><Relationship Id="rId645" Type="http://schemas.openxmlformats.org/officeDocument/2006/relationships/hyperlink" Target="http://www.plants.usda.gov/java/profile?symbol=ASFL2" TargetMode="External"/><Relationship Id="rId852" Type="http://schemas.openxmlformats.org/officeDocument/2006/relationships/hyperlink" Target="http://www.plants.usda.gov/java/profile?symbol=CRTE4" TargetMode="External"/><Relationship Id="rId1068" Type="http://schemas.openxmlformats.org/officeDocument/2006/relationships/hyperlink" Target="http://www.plants.usda.gov/java/profile?symbol=GEPU5" TargetMode="External"/><Relationship Id="rId1275" Type="http://schemas.openxmlformats.org/officeDocument/2006/relationships/hyperlink" Target="http://www.plants.usda.gov/java/profile?symbol=LIMET" TargetMode="External"/><Relationship Id="rId1482" Type="http://schemas.openxmlformats.org/officeDocument/2006/relationships/hyperlink" Target="http://www.plants.usda.gov/java/profile?symbol=PEPA7" TargetMode="External"/><Relationship Id="rId2119" Type="http://schemas.openxmlformats.org/officeDocument/2006/relationships/hyperlink" Target="http://www.plants.usda.gov/java/profile?symbol=CAOV3" TargetMode="External"/><Relationship Id="rId2326" Type="http://schemas.openxmlformats.org/officeDocument/2006/relationships/hyperlink" Target="http://www.plants.usda.gov/java/profile?symbol=QUBU" TargetMode="External"/><Relationship Id="rId2533" Type="http://schemas.openxmlformats.org/officeDocument/2006/relationships/hyperlink" Target="http://www.plants.usda.gov/java/profile?symbol=CYLA" TargetMode="External"/><Relationship Id="rId505" Type="http://schemas.openxmlformats.org/officeDocument/2006/relationships/hyperlink" Target="http://www.plants.usda.gov/java/profile?symbol=AGNE2" TargetMode="External"/><Relationship Id="rId712" Type="http://schemas.openxmlformats.org/officeDocument/2006/relationships/hyperlink" Target="http://www.plants.usda.gov/java/profile?symbol=CASE13" TargetMode="External"/><Relationship Id="rId1135" Type="http://schemas.openxmlformats.org/officeDocument/2006/relationships/hyperlink" Target="http://www.plants.usda.gov/java/profile?symbol=HEHE5" TargetMode="External"/><Relationship Id="rId1342" Type="http://schemas.openxmlformats.org/officeDocument/2006/relationships/hyperlink" Target="http://www.plants.usda.gov/java/profile?symbol=MACA4" TargetMode="External"/><Relationship Id="rId1787" Type="http://schemas.openxmlformats.org/officeDocument/2006/relationships/hyperlink" Target="http://www.plants.usda.gov/java/profile?symbol=SOJA" TargetMode="External"/><Relationship Id="rId1994" Type="http://schemas.openxmlformats.org/officeDocument/2006/relationships/hyperlink" Target="http://www.plants.usda.gov/java/profile?symbol=VEVI4" TargetMode="External"/><Relationship Id="rId79" Type="http://schemas.openxmlformats.org/officeDocument/2006/relationships/hyperlink" Target="http://www.plants.usda.gov/java/profile?symbol=CACR3" TargetMode="External"/><Relationship Id="rId1202" Type="http://schemas.openxmlformats.org/officeDocument/2006/relationships/hyperlink" Target="http://www.plants.usda.gov/java/profile?symbol=IRVI" TargetMode="External"/><Relationship Id="rId1647" Type="http://schemas.openxmlformats.org/officeDocument/2006/relationships/hyperlink" Target="http://www.plants.usda.gov/java/profile?symbol=PUPAM" TargetMode="External"/><Relationship Id="rId1854" Type="http://schemas.openxmlformats.org/officeDocument/2006/relationships/hyperlink" Target="http://www.plants.usda.gov/java/profile?symbol=SUSU3" TargetMode="External"/><Relationship Id="rId1507" Type="http://schemas.openxmlformats.org/officeDocument/2006/relationships/hyperlink" Target="http://www.plants.usda.gov/java/profile?symbol=PHHEH3" TargetMode="External"/><Relationship Id="rId1714" Type="http://schemas.openxmlformats.org/officeDocument/2006/relationships/hyperlink" Target="http://www.plants.usda.gov/java/profile?symbol=SAGR" TargetMode="External"/><Relationship Id="rId295" Type="http://schemas.openxmlformats.org/officeDocument/2006/relationships/hyperlink" Target="http://www.plants.usda.gov/java/profile?symbol=ERPI2" TargetMode="External"/><Relationship Id="rId1921" Type="http://schemas.openxmlformats.org/officeDocument/2006/relationships/hyperlink" Target="http://www.plants.usda.gov/java/profile?symbol=TROC" TargetMode="External"/><Relationship Id="rId2183" Type="http://schemas.openxmlformats.org/officeDocument/2006/relationships/hyperlink" Target="http://www.plants.usda.gov/java/profile?symbol=ESMI3" TargetMode="External"/><Relationship Id="rId2390" Type="http://schemas.openxmlformats.org/officeDocument/2006/relationships/hyperlink" Target="http://www.plants.usda.gov/java/profile?symbol=RUALA" TargetMode="External"/><Relationship Id="rId2488" Type="http://schemas.openxmlformats.org/officeDocument/2006/relationships/hyperlink" Target="http://www.plants.usda.gov/java/profile?symbol=VIOPA2" TargetMode="External"/><Relationship Id="rId155" Type="http://schemas.openxmlformats.org/officeDocument/2006/relationships/hyperlink" Target="http://www.plants.usda.gov/java/profile?symbol=CARO22" TargetMode="External"/><Relationship Id="rId362" Type="http://schemas.openxmlformats.org/officeDocument/2006/relationships/hyperlink" Target="http://www.plants.usda.gov/java/profile?symbol=LUMU2" TargetMode="External"/><Relationship Id="rId1297" Type="http://schemas.openxmlformats.org/officeDocument/2006/relationships/hyperlink" Target="http://www.plants.usda.gov/java/profile?symbol=LOSPH" TargetMode="External"/><Relationship Id="rId2043" Type="http://schemas.openxmlformats.org/officeDocument/2006/relationships/hyperlink" Target="http://www.plants.usda.gov/java/profile?symbol=ZIELE" TargetMode="External"/><Relationship Id="rId2250" Type="http://schemas.openxmlformats.org/officeDocument/2006/relationships/hyperlink" Target="http://www.plants.usda.gov/java/profile?symbol=MOFI" TargetMode="External"/><Relationship Id="rId222" Type="http://schemas.openxmlformats.org/officeDocument/2006/relationships/hyperlink" Target="http://www.plants.usda.gov/java/profile?symbol=DIOL" TargetMode="External"/><Relationship Id="rId667" Type="http://schemas.openxmlformats.org/officeDocument/2006/relationships/hyperlink" Target="http://www.plants.usda.gov/java/profile?symbol=BATI" TargetMode="External"/><Relationship Id="rId874" Type="http://schemas.openxmlformats.org/officeDocument/2006/relationships/hyperlink" Target="http://www.plants.usda.gov/java/profile?symbol=CYLA" TargetMode="External"/><Relationship Id="rId2110" Type="http://schemas.openxmlformats.org/officeDocument/2006/relationships/hyperlink" Target="http://www.plants.usda.gov/java/profile?symbol=BREUC" TargetMode="External"/><Relationship Id="rId2348" Type="http://schemas.openxmlformats.org/officeDocument/2006/relationships/hyperlink" Target="http://www.plants.usda.gov/java/profile?symbol=RHAL" TargetMode="External"/><Relationship Id="rId2555" Type="http://schemas.openxmlformats.org/officeDocument/2006/relationships/hyperlink" Target="http://www.plants.usda.gov/java/profile?symbol=PAQU2" TargetMode="External"/><Relationship Id="rId527" Type="http://schemas.openxmlformats.org/officeDocument/2006/relationships/hyperlink" Target="http://www.plants.usda.gov/java/profile?symbol=ALST" TargetMode="External"/><Relationship Id="rId734" Type="http://schemas.openxmlformats.org/officeDocument/2006/relationships/hyperlink" Target="http://www.plants.usda.gov/java/profile?symbol=CEAM2" TargetMode="External"/><Relationship Id="rId941" Type="http://schemas.openxmlformats.org/officeDocument/2006/relationships/hyperlink" Target="http://www.plants.usda.gov/java/profile?symbol=DRPA2" TargetMode="External"/><Relationship Id="rId1157" Type="http://schemas.openxmlformats.org/officeDocument/2006/relationships/hyperlink" Target="http://www.plants.usda.gov/java/profile?symbol=HILA2" TargetMode="External"/><Relationship Id="rId1364" Type="http://schemas.openxmlformats.org/officeDocument/2006/relationships/hyperlink" Target="http://www.plants.usda.gov/java/profile?symbol=MIMI2" TargetMode="External"/><Relationship Id="rId1571" Type="http://schemas.openxmlformats.org/officeDocument/2006/relationships/hyperlink" Target="http://www.plants.usda.gov/java/profile?symbol=POBU2" TargetMode="External"/><Relationship Id="rId2208" Type="http://schemas.openxmlformats.org/officeDocument/2006/relationships/hyperlink" Target="http://www.plants.usda.gov/java/profile?symbol=HEVIM3" TargetMode="External"/><Relationship Id="rId2415" Type="http://schemas.openxmlformats.org/officeDocument/2006/relationships/hyperlink" Target="http://www.plants.usda.gov/java/profile?symbol=RUST5" TargetMode="External"/><Relationship Id="rId70" Type="http://schemas.openxmlformats.org/officeDocument/2006/relationships/hyperlink" Target="http://www.plants.usda.gov/java/profile?symbol=CACA14" TargetMode="External"/><Relationship Id="rId801" Type="http://schemas.openxmlformats.org/officeDocument/2006/relationships/hyperlink" Target="http://www.plants.usda.gov/java/profile?symbol=CLVI3" TargetMode="External"/><Relationship Id="rId1017" Type="http://schemas.openxmlformats.org/officeDocument/2006/relationships/hyperlink" Target="http://www.plants.usda.gov/java/profile?symbol=EUCY" TargetMode="External"/><Relationship Id="rId1224" Type="http://schemas.openxmlformats.org/officeDocument/2006/relationships/hyperlink" Target="http://www.plants.usda.gov/java/profile?symbol=LAOC2" TargetMode="External"/><Relationship Id="rId1431" Type="http://schemas.openxmlformats.org/officeDocument/2006/relationships/hyperlink" Target="http://www.plants.usda.gov/java/profile?symbol=ONBEO" TargetMode="External"/><Relationship Id="rId1669" Type="http://schemas.openxmlformats.org/officeDocument/2006/relationships/hyperlink" Target="http://www.plants.usda.gov/java/profile?symbol=RASC3" TargetMode="External"/><Relationship Id="rId1876" Type="http://schemas.openxmlformats.org/officeDocument/2006/relationships/hyperlink" Target="http://www.plants.usda.gov/java/profile?symbol=SYLAL4" TargetMode="External"/><Relationship Id="rId1529" Type="http://schemas.openxmlformats.org/officeDocument/2006/relationships/hyperlink" Target="http://www.plants.usda.gov/java/profile?symbol=PLCO2" TargetMode="External"/><Relationship Id="rId1736" Type="http://schemas.openxmlformats.org/officeDocument/2006/relationships/hyperlink" Target="http://www.plants.usda.gov/java/profile?symbol=SCIN" TargetMode="External"/><Relationship Id="rId1943" Type="http://schemas.openxmlformats.org/officeDocument/2006/relationships/hyperlink" Target="http://www.plants.usda.gov/java/profile?symbol=URDI" TargetMode="External"/><Relationship Id="rId28" Type="http://schemas.openxmlformats.org/officeDocument/2006/relationships/hyperlink" Target="http://www.plants.usda.gov/java/profile?symbol=BODA2" TargetMode="External"/><Relationship Id="rId1803" Type="http://schemas.openxmlformats.org/officeDocument/2006/relationships/hyperlink" Target="http://www.plants.usda.gov/java/profile?symbol=SOMOM" TargetMode="External"/><Relationship Id="rId177" Type="http://schemas.openxmlformats.org/officeDocument/2006/relationships/hyperlink" Target="http://www.plants.usda.gov/java/profile?symbol=CATRT2" TargetMode="External"/><Relationship Id="rId384" Type="http://schemas.openxmlformats.org/officeDocument/2006/relationships/hyperlink" Target="http://www.plants.usda.gov/java/profile?symbol=ORAS" TargetMode="External"/><Relationship Id="rId591" Type="http://schemas.openxmlformats.org/officeDocument/2006/relationships/hyperlink" Target="http://www.plants.usda.gov/java/profile?symbol=ARAL3" TargetMode="External"/><Relationship Id="rId2065" Type="http://schemas.openxmlformats.org/officeDocument/2006/relationships/hyperlink" Target="http://www.plants.usda.gov/java/profile?symbol=AGFO" TargetMode="External"/><Relationship Id="rId2272" Type="http://schemas.openxmlformats.org/officeDocument/2006/relationships/hyperlink" Target="http://www.plants.usda.gov/java/profile?symbol=PHPUP" TargetMode="External"/><Relationship Id="rId244" Type="http://schemas.openxmlformats.org/officeDocument/2006/relationships/hyperlink" Target="http://www.plants.usda.gov/java/profile?symbol=DUARA" TargetMode="External"/><Relationship Id="rId689" Type="http://schemas.openxmlformats.org/officeDocument/2006/relationships/hyperlink" Target="http://www.plants.usda.gov/java/profile?symbol=BODI2" TargetMode="External"/><Relationship Id="rId896" Type="http://schemas.openxmlformats.org/officeDocument/2006/relationships/hyperlink" Target="http://www.plants.usda.gov/java/profile?symbol=DALE3" TargetMode="External"/><Relationship Id="rId1081" Type="http://schemas.openxmlformats.org/officeDocument/2006/relationships/hyperlink" Target="http://www.plants.usda.gov/java/profile?symbol=GELA" TargetMode="External"/><Relationship Id="rId2577" Type="http://schemas.openxmlformats.org/officeDocument/2006/relationships/hyperlink" Target="http://www.plants.usda.gov/java/profile?symbol=TORAN" TargetMode="External"/><Relationship Id="rId451" Type="http://schemas.openxmlformats.org/officeDocument/2006/relationships/hyperlink" Target="http://www.plants.usda.gov/java/profile?symbol=SPHE" TargetMode="External"/><Relationship Id="rId549" Type="http://schemas.openxmlformats.org/officeDocument/2006/relationships/hyperlink" Target="http://www.plants.usda.gov/java/profile?symbol=AMBRB" TargetMode="External"/><Relationship Id="rId756" Type="http://schemas.openxmlformats.org/officeDocument/2006/relationships/hyperlink" Target="http://www.plants.usda.gov/java/profile?symbol=CHSES" TargetMode="External"/><Relationship Id="rId1179" Type="http://schemas.openxmlformats.org/officeDocument/2006/relationships/hyperlink" Target="http://www.plants.usda.gov/java/profile?symbol=HYCA3" TargetMode="External"/><Relationship Id="rId1386" Type="http://schemas.openxmlformats.org/officeDocument/2006/relationships/hyperlink" Target="http://www.plants.usda.gov/java/profile?symbol=MOUN3" TargetMode="External"/><Relationship Id="rId1593" Type="http://schemas.openxmlformats.org/officeDocument/2006/relationships/hyperlink" Target="http://www.plants.usda.gov/java/profile?symbol=PONU4" TargetMode="External"/><Relationship Id="rId2132" Type="http://schemas.openxmlformats.org/officeDocument/2006/relationships/hyperlink" Target="http://www.plants.usda.gov/java/profile?symbol=CHCA2" TargetMode="External"/><Relationship Id="rId2437" Type="http://schemas.openxmlformats.org/officeDocument/2006/relationships/hyperlink" Target="http://www.plants.usda.gov/java/profile?symbol=SASE" TargetMode="External"/><Relationship Id="rId104" Type="http://schemas.openxmlformats.org/officeDocument/2006/relationships/hyperlink" Target="http://www.plants.usda.gov/java/profile?symbol=CAGR5" TargetMode="External"/><Relationship Id="rId311" Type="http://schemas.openxmlformats.org/officeDocument/2006/relationships/hyperlink" Target="http://www.plants.usda.gov/java/profile?symbol=FUSI" TargetMode="External"/><Relationship Id="rId409" Type="http://schemas.openxmlformats.org/officeDocument/2006/relationships/hyperlink" Target="http://www.plants.usda.gov/java/profile?symbol=POSY" TargetMode="External"/><Relationship Id="rId963" Type="http://schemas.openxmlformats.org/officeDocument/2006/relationships/hyperlink" Target="http://www.plants.usda.gov/java/profile?symbol=ELCA7" TargetMode="External"/><Relationship Id="rId1039" Type="http://schemas.openxmlformats.org/officeDocument/2006/relationships/hyperlink" Target="http://www.plants.usda.gov/java/profile?symbol=FRGR3" TargetMode="External"/><Relationship Id="rId1246" Type="http://schemas.openxmlformats.org/officeDocument/2006/relationships/hyperlink" Target="http://www.plants.usda.gov/java/profile?symbol=LERE2" TargetMode="External"/><Relationship Id="rId1898" Type="http://schemas.openxmlformats.org/officeDocument/2006/relationships/hyperlink" Target="http://www.plants.usda.gov/java/profile?symbol=SYUR" TargetMode="External"/><Relationship Id="rId92" Type="http://schemas.openxmlformats.org/officeDocument/2006/relationships/hyperlink" Target="http://www.plants.usda.gov/java/profile?symbol=CAEC" TargetMode="External"/><Relationship Id="rId616" Type="http://schemas.openxmlformats.org/officeDocument/2006/relationships/hyperlink" Target="http://www.plants.usda.gov/java/profile?symbol=ASEN" TargetMode="External"/><Relationship Id="rId823" Type="http://schemas.openxmlformats.org/officeDocument/2006/relationships/hyperlink" Target="http://www.plants.usda.gov/java/profile?symbol=COODO2" TargetMode="External"/><Relationship Id="rId1453" Type="http://schemas.openxmlformats.org/officeDocument/2006/relationships/hyperlink" Target="http://www.plants.usda.gov/java/profile?symbol=PAAU3" TargetMode="External"/><Relationship Id="rId1660" Type="http://schemas.openxmlformats.org/officeDocument/2006/relationships/hyperlink" Target="http://www.plants.usda.gov/java/profile?symbol=RAHI" TargetMode="External"/><Relationship Id="rId1758" Type="http://schemas.openxmlformats.org/officeDocument/2006/relationships/hyperlink" Target="http://www.plants.usda.gov/java/profile?symbol=SIAN2" TargetMode="External"/><Relationship Id="rId2504" Type="http://schemas.openxmlformats.org/officeDocument/2006/relationships/hyperlink" Target="http://www.plants.usda.gov/java/profile?symbol=CASEA2" TargetMode="External"/><Relationship Id="rId1106" Type="http://schemas.openxmlformats.org/officeDocument/2006/relationships/hyperlink" Target="http://www.plants.usda.gov/java/profile?symbol=HEPU" TargetMode="External"/><Relationship Id="rId1313" Type="http://schemas.openxmlformats.org/officeDocument/2006/relationships/hyperlink" Target="http://www.plants.usda.gov/java/profile?symbol=LUPEO2" TargetMode="External"/><Relationship Id="rId1520" Type="http://schemas.openxmlformats.org/officeDocument/2006/relationships/hyperlink" Target="http://www.plants.usda.gov/java/profile?symbol=PHVIP2" TargetMode="External"/><Relationship Id="rId1965" Type="http://schemas.openxmlformats.org/officeDocument/2006/relationships/hyperlink" Target="http://www.plants.usda.gov/java/profile?symbol=VEMO" TargetMode="External"/><Relationship Id="rId1618" Type="http://schemas.openxmlformats.org/officeDocument/2006/relationships/hyperlink" Target="http://www.plants.usda.gov/java/profile?symbol=POCA17" TargetMode="External"/><Relationship Id="rId1825" Type="http://schemas.openxmlformats.org/officeDocument/2006/relationships/hyperlink" Target="http://www.plants.usda.gov/java/profile?symbol=SPCE" TargetMode="External"/><Relationship Id="rId199" Type="http://schemas.openxmlformats.org/officeDocument/2006/relationships/hyperlink" Target="http://www.plants.usda.gov/java/profile?symbol=CYLU2" TargetMode="External"/><Relationship Id="rId2087" Type="http://schemas.openxmlformats.org/officeDocument/2006/relationships/hyperlink" Target="http://www.plants.usda.gov/java/profile?symbol=ARNU2" TargetMode="External"/><Relationship Id="rId2294" Type="http://schemas.openxmlformats.org/officeDocument/2006/relationships/hyperlink" Target="http://www.plants.usda.gov/java/profile?symbol=POCA19" TargetMode="External"/><Relationship Id="rId266" Type="http://schemas.openxmlformats.org/officeDocument/2006/relationships/hyperlink" Target="http://www.plants.usda.gov/java/profile?symbol=ELQU2" TargetMode="External"/><Relationship Id="rId473" Type="http://schemas.openxmlformats.org/officeDocument/2006/relationships/hyperlink" Target="http://www.plants.usda.gov/java/profile?symbol=ACDE4" TargetMode="External"/><Relationship Id="rId680" Type="http://schemas.openxmlformats.org/officeDocument/2006/relationships/hyperlink" Target="http://www.plants.usda.gov/java/profile?symbol=BLCI" TargetMode="External"/><Relationship Id="rId2154" Type="http://schemas.openxmlformats.org/officeDocument/2006/relationships/hyperlink" Target="http://www.plants.usda.gov/java/profile?symbol=CRCO2" TargetMode="External"/><Relationship Id="rId2361" Type="http://schemas.openxmlformats.org/officeDocument/2006/relationships/hyperlink" Target="http://www.plants.usda.gov/java/profile?symbol=RIAM2" TargetMode="External"/><Relationship Id="rId126" Type="http://schemas.openxmlformats.org/officeDocument/2006/relationships/hyperlink" Target="http://www.plants.usda.gov/java/profile?symbol=CALE10" TargetMode="External"/><Relationship Id="rId333" Type="http://schemas.openxmlformats.org/officeDocument/2006/relationships/hyperlink" Target="http://www.plants.usda.gov/java/profile?symbol=JUBU" TargetMode="External"/><Relationship Id="rId540" Type="http://schemas.openxmlformats.org/officeDocument/2006/relationships/hyperlink" Target="http://www.plants.usda.gov/java/profile?symbol=AMHE3" TargetMode="External"/><Relationship Id="rId778" Type="http://schemas.openxmlformats.org/officeDocument/2006/relationships/hyperlink" Target="http://www.plants.usda.gov/java/profile?symbol=CHST2" TargetMode="External"/><Relationship Id="rId985" Type="http://schemas.openxmlformats.org/officeDocument/2006/relationships/hyperlink" Target="http://www.plants.usda.gov/java/profile?symbol=ERPH" TargetMode="External"/><Relationship Id="rId1170" Type="http://schemas.openxmlformats.org/officeDocument/2006/relationships/hyperlink" Target="http://www.plants.usda.gov/java/profile?symbol=HULU" TargetMode="External"/><Relationship Id="rId2014" Type="http://schemas.openxmlformats.org/officeDocument/2006/relationships/hyperlink" Target="http://www.plants.usda.gov/java/profile?symbol=VIPE2" TargetMode="External"/><Relationship Id="rId2221" Type="http://schemas.openxmlformats.org/officeDocument/2006/relationships/hyperlink" Target="http://www.plants.usda.gov/java/profile?symbol=JUCOD" TargetMode="External"/><Relationship Id="rId2459" Type="http://schemas.openxmlformats.org/officeDocument/2006/relationships/hyperlink" Target="http://www.plants.usda.gov/java/profile?symbol=STNIN" TargetMode="External"/><Relationship Id="rId638" Type="http://schemas.openxmlformats.org/officeDocument/2006/relationships/hyperlink" Target="http://www.plants.usda.gov/java/profile?symbol=ASAG2" TargetMode="External"/><Relationship Id="rId845" Type="http://schemas.openxmlformats.org/officeDocument/2006/relationships/hyperlink" Target="http://www.plants.usda.gov/java/profile?symbol=CRSA4" TargetMode="External"/><Relationship Id="rId1030" Type="http://schemas.openxmlformats.org/officeDocument/2006/relationships/hyperlink" Target="http://www.plants.usda.gov/java/profile?symbol=FLPR" TargetMode="External"/><Relationship Id="rId1268" Type="http://schemas.openxmlformats.org/officeDocument/2006/relationships/hyperlink" Target="http://www.plants.usda.gov/java/profile?symbol=LIPI2" TargetMode="External"/><Relationship Id="rId1475" Type="http://schemas.openxmlformats.org/officeDocument/2006/relationships/hyperlink" Target="http://www.plants.usda.gov/java/profile?symbol=PEVI" TargetMode="External"/><Relationship Id="rId1682" Type="http://schemas.openxmlformats.org/officeDocument/2006/relationships/hyperlink" Target="http://www.plants.usda.gov/java/profile?symbol=RORA" TargetMode="External"/><Relationship Id="rId2319" Type="http://schemas.openxmlformats.org/officeDocument/2006/relationships/hyperlink" Target="http://www.plants.usda.gov/java/profile?symbol=PTTRT2" TargetMode="External"/><Relationship Id="rId2526" Type="http://schemas.openxmlformats.org/officeDocument/2006/relationships/hyperlink" Target="http://www.plants.usda.gov/java/profile?symbol=CUGR" TargetMode="External"/><Relationship Id="rId400" Type="http://schemas.openxmlformats.org/officeDocument/2006/relationships/hyperlink" Target="http://www.plants.usda.gov/java/profile?symbol=PIRA5" TargetMode="External"/><Relationship Id="rId705" Type="http://schemas.openxmlformats.org/officeDocument/2006/relationships/hyperlink" Target="http://www.plants.usda.gov/java/profile?symbol=CAPA52" TargetMode="External"/><Relationship Id="rId1128" Type="http://schemas.openxmlformats.org/officeDocument/2006/relationships/hyperlink" Target="http://www.plants.usda.gov/java/profile?symbol=HEPA19" TargetMode="External"/><Relationship Id="rId1335" Type="http://schemas.openxmlformats.org/officeDocument/2006/relationships/hyperlink" Target="http://www.plants.usda.gov/java/profile?symbol=MACAC3" TargetMode="External"/><Relationship Id="rId1542" Type="http://schemas.openxmlformats.org/officeDocument/2006/relationships/hyperlink" Target="http://www.plants.usda.gov/java/profile?symbol=PLHU2" TargetMode="External"/><Relationship Id="rId1987" Type="http://schemas.openxmlformats.org/officeDocument/2006/relationships/hyperlink" Target="http://www.plants.usda.gov/java/profile?symbol=VEAM2" TargetMode="External"/><Relationship Id="rId912" Type="http://schemas.openxmlformats.org/officeDocument/2006/relationships/hyperlink" Target="http://www.plants.usda.gov/java/profile?symbol=DECA8" TargetMode="External"/><Relationship Id="rId1847" Type="http://schemas.openxmlformats.org/officeDocument/2006/relationships/hyperlink" Target="http://www.plants.usda.gov/java/profile?symbol=STHE9" TargetMode="External"/><Relationship Id="rId41" Type="http://schemas.openxmlformats.org/officeDocument/2006/relationships/hyperlink" Target="http://www.plants.usda.gov/java/profile?symbol=BRPU6" TargetMode="External"/><Relationship Id="rId1402" Type="http://schemas.openxmlformats.org/officeDocument/2006/relationships/hyperlink" Target="http://www.plants.usda.gov/java/profile?symbol=NAINP3" TargetMode="External"/><Relationship Id="rId1707" Type="http://schemas.openxmlformats.org/officeDocument/2006/relationships/hyperlink" Target="http://www.plants.usda.gov/java/profile?symbol=SAPR" TargetMode="External"/><Relationship Id="rId190" Type="http://schemas.openxmlformats.org/officeDocument/2006/relationships/hyperlink" Target="http://www.plants.usda.gov/java/profile?symbol=CELO3" TargetMode="External"/><Relationship Id="rId288" Type="http://schemas.openxmlformats.org/officeDocument/2006/relationships/hyperlink" Target="http://www.plants.usda.gov/java/profile?symbol=ERCA" TargetMode="External"/><Relationship Id="rId1914" Type="http://schemas.openxmlformats.org/officeDocument/2006/relationships/hyperlink" Target="http://www.plants.usda.gov/java/profile?symbol=THPA7" TargetMode="External"/><Relationship Id="rId495" Type="http://schemas.openxmlformats.org/officeDocument/2006/relationships/hyperlink" Target="http://www.plants.usda.gov/java/profile?symbol=AGGA" TargetMode="External"/><Relationship Id="rId2176" Type="http://schemas.openxmlformats.org/officeDocument/2006/relationships/hyperlink" Target="http://www.plants.usda.gov/java/profile?symbol=DEIL" TargetMode="External"/><Relationship Id="rId2383" Type="http://schemas.openxmlformats.org/officeDocument/2006/relationships/hyperlink" Target="http://www.plants.usda.gov/java/profile?symbol=RORU3" TargetMode="External"/><Relationship Id="rId2590" Type="http://schemas.openxmlformats.org/officeDocument/2006/relationships/printerSettings" Target="../printerSettings/printerSettings8.bin"/><Relationship Id="rId148" Type="http://schemas.openxmlformats.org/officeDocument/2006/relationships/hyperlink" Target="http://www.plants.usda.gov/java/profile?symbol=CAPL4" TargetMode="External"/><Relationship Id="rId355" Type="http://schemas.openxmlformats.org/officeDocument/2006/relationships/hyperlink" Target="http://www.plants.usda.gov/java/profile?symbol=LIAR6" TargetMode="External"/><Relationship Id="rId562" Type="http://schemas.openxmlformats.org/officeDocument/2006/relationships/hyperlink" Target="http://www.plants.usda.gov/java/profile?symbol=ANAT" TargetMode="External"/><Relationship Id="rId1192" Type="http://schemas.openxmlformats.org/officeDocument/2006/relationships/hyperlink" Target="http://www.plants.usda.gov/java/profile?symbol=HYHI2" TargetMode="External"/><Relationship Id="rId2036" Type="http://schemas.openxmlformats.org/officeDocument/2006/relationships/hyperlink" Target="http://www.plants.usda.gov/java/profile?symbol=XASTC" TargetMode="External"/><Relationship Id="rId2243" Type="http://schemas.openxmlformats.org/officeDocument/2006/relationships/hyperlink" Target="http://www.plants.usda.gov/java/profile?symbol=MAPO" TargetMode="External"/><Relationship Id="rId2450" Type="http://schemas.openxmlformats.org/officeDocument/2006/relationships/hyperlink" Target="http://www.plants.usda.gov/java/profile?symbol=SOCA3" TargetMode="External"/><Relationship Id="rId215" Type="http://schemas.openxmlformats.org/officeDocument/2006/relationships/hyperlink" Target="http://www.plants.usda.gov/java/profile?symbol=DIDE4" TargetMode="External"/><Relationship Id="rId422" Type="http://schemas.openxmlformats.org/officeDocument/2006/relationships/hyperlink" Target="http://www.plants.usda.gov/java/profile?symbol=SCMA8" TargetMode="External"/><Relationship Id="rId867" Type="http://schemas.openxmlformats.org/officeDocument/2006/relationships/hyperlink" Target="http://www.plants.usda.gov/java/profile?symbol=CUIN" TargetMode="External"/><Relationship Id="rId1052" Type="http://schemas.openxmlformats.org/officeDocument/2006/relationships/hyperlink" Target="http://www.plants.usda.gov/java/profile?symbol=GATI" TargetMode="External"/><Relationship Id="rId1497" Type="http://schemas.openxmlformats.org/officeDocument/2006/relationships/hyperlink" Target="http://www.plants.usda.gov/java/profile?symbol=PHPA9" TargetMode="External"/><Relationship Id="rId2103" Type="http://schemas.openxmlformats.org/officeDocument/2006/relationships/hyperlink" Target="http://www.plants.usda.gov/java/profile?symbol=BEPA" TargetMode="External"/><Relationship Id="rId2310" Type="http://schemas.openxmlformats.org/officeDocument/2006/relationships/hyperlink" Target="http://www.plants.usda.gov/java/profile?symbol=PRPU3" TargetMode="External"/><Relationship Id="rId2548" Type="http://schemas.openxmlformats.org/officeDocument/2006/relationships/hyperlink" Target="http://www.plants.usda.gov/java/profile?symbol=LAOC2" TargetMode="External"/><Relationship Id="rId727" Type="http://schemas.openxmlformats.org/officeDocument/2006/relationships/hyperlink" Target="http://www.plants.usda.gov/java/profile?symbol=CADO" TargetMode="External"/><Relationship Id="rId934" Type="http://schemas.openxmlformats.org/officeDocument/2006/relationships/hyperlink" Target="http://www.plants.usda.gov/java/profile?symbol=DOMEB2" TargetMode="External"/><Relationship Id="rId1357" Type="http://schemas.openxmlformats.org/officeDocument/2006/relationships/hyperlink" Target="http://www.plants.usda.gov/java/profile?symbol=MEVI3" TargetMode="External"/><Relationship Id="rId1564" Type="http://schemas.openxmlformats.org/officeDocument/2006/relationships/hyperlink" Target="http://www.plants.usda.gov/java/profile?symbol=POPU4" TargetMode="External"/><Relationship Id="rId1771" Type="http://schemas.openxmlformats.org/officeDocument/2006/relationships/hyperlink" Target="http://www.plants.usda.gov/java/profile?symbol=SITE" TargetMode="External"/><Relationship Id="rId2408" Type="http://schemas.openxmlformats.org/officeDocument/2006/relationships/hyperlink" Target="http://www.plants.usda.gov/java/profile?symbol=RUPL" TargetMode="External"/><Relationship Id="rId63" Type="http://schemas.openxmlformats.org/officeDocument/2006/relationships/hyperlink" Target="http://www.plants.usda.gov/java/profile?symbol=CABA3" TargetMode="External"/><Relationship Id="rId1217" Type="http://schemas.openxmlformats.org/officeDocument/2006/relationships/hyperlink" Target="http://www.plants.usda.gov/java/profile?symbol=LALU" TargetMode="External"/><Relationship Id="rId1424" Type="http://schemas.openxmlformats.org/officeDocument/2006/relationships/hyperlink" Target="http://www.plants.usda.gov/java/profile?symbol=OLRI2" TargetMode="External"/><Relationship Id="rId1631" Type="http://schemas.openxmlformats.org/officeDocument/2006/relationships/hyperlink" Target="http://www.plants.usda.gov/java/profile?symbol=PRRAR3" TargetMode="External"/><Relationship Id="rId1869" Type="http://schemas.openxmlformats.org/officeDocument/2006/relationships/hyperlink" Target="http://www.plants.usda.gov/java/profile?symbol=SYLAL3" TargetMode="External"/><Relationship Id="rId1729" Type="http://schemas.openxmlformats.org/officeDocument/2006/relationships/hyperlink" Target="http://www.plants.usda.gov/java/profile?symbol=SATR4" TargetMode="External"/><Relationship Id="rId1936" Type="http://schemas.openxmlformats.org/officeDocument/2006/relationships/hyperlink" Target="http://www.plants.usda.gov/java/profile?symbol=TRAUA" TargetMode="External"/><Relationship Id="rId2198" Type="http://schemas.openxmlformats.org/officeDocument/2006/relationships/hyperlink" Target="http://www.plants.usda.gov/java/profile?symbol=GACO5" TargetMode="External"/><Relationship Id="rId377" Type="http://schemas.openxmlformats.org/officeDocument/2006/relationships/hyperlink" Target="http://www.plants.usda.gov/java/profile?symbol=MURA" TargetMode="External"/><Relationship Id="rId584" Type="http://schemas.openxmlformats.org/officeDocument/2006/relationships/hyperlink" Target="http://www.plants.usda.gov/java/profile?symbol=ARLAL" TargetMode="External"/><Relationship Id="rId2058" Type="http://schemas.openxmlformats.org/officeDocument/2006/relationships/hyperlink" Target="http://www.plants.usda.gov/java/profile?symbol=ACSA3" TargetMode="External"/><Relationship Id="rId2265" Type="http://schemas.openxmlformats.org/officeDocument/2006/relationships/hyperlink" Target="http://www.plants.usda.gov/java/profile?symbol=OSVIV" TargetMode="External"/><Relationship Id="rId5" Type="http://schemas.openxmlformats.org/officeDocument/2006/relationships/hyperlink" Target="http://www.plants.usda.gov/java/profile?symbol=AGSC5" TargetMode="External"/><Relationship Id="rId237" Type="http://schemas.openxmlformats.org/officeDocument/2006/relationships/hyperlink" Target="http://www.plants.usda.gov/java/profile?symbol=DIBI" TargetMode="External"/><Relationship Id="rId791" Type="http://schemas.openxmlformats.org/officeDocument/2006/relationships/hyperlink" Target="http://www.plants.usda.gov/java/profile?symbol=CILUC" TargetMode="External"/><Relationship Id="rId889" Type="http://schemas.openxmlformats.org/officeDocument/2006/relationships/hyperlink" Target="http://www.plants.usda.gov/java/profile?symbol=CYTE3" TargetMode="External"/><Relationship Id="rId1074" Type="http://schemas.openxmlformats.org/officeDocument/2006/relationships/hyperlink" Target="http://www.plants.usda.gov/java/profile?symbol=GEBI2" TargetMode="External"/><Relationship Id="rId2472" Type="http://schemas.openxmlformats.org/officeDocument/2006/relationships/hyperlink" Target="http://www.plants.usda.gov/java/profile?symbol=TIAM" TargetMode="External"/><Relationship Id="rId444" Type="http://schemas.openxmlformats.org/officeDocument/2006/relationships/hyperlink" Target="http://www.plants.usda.gov/java/profile?symbol=SPIN3" TargetMode="External"/><Relationship Id="rId651" Type="http://schemas.openxmlformats.org/officeDocument/2006/relationships/hyperlink" Target="http://www.plants.usda.gov/java/profile?symbol=ASMIM5" TargetMode="External"/><Relationship Id="rId749" Type="http://schemas.openxmlformats.org/officeDocument/2006/relationships/hyperlink" Target="http://www.plants.usda.gov/java/profile?symbol=CHGL13" TargetMode="External"/><Relationship Id="rId1281" Type="http://schemas.openxmlformats.org/officeDocument/2006/relationships/hyperlink" Target="http://www.plants.usda.gov/java/profile?symbol=LIVI" TargetMode="External"/><Relationship Id="rId1379" Type="http://schemas.openxmlformats.org/officeDocument/2006/relationships/hyperlink" Target="http://www.plants.usda.gov/java/profile?symbol=MOFIM2" TargetMode="External"/><Relationship Id="rId1586" Type="http://schemas.openxmlformats.org/officeDocument/2006/relationships/hyperlink" Target="http://www.plants.usda.gov/java/profile?symbol=POSCD" TargetMode="External"/><Relationship Id="rId2125" Type="http://schemas.openxmlformats.org/officeDocument/2006/relationships/hyperlink" Target="http://www.plants.usda.gov/java/profile?symbol=CASP8" TargetMode="External"/><Relationship Id="rId2332" Type="http://schemas.openxmlformats.org/officeDocument/2006/relationships/hyperlink" Target="http://www.plants.usda.gov/java/profile?symbol=QUIM" TargetMode="External"/><Relationship Id="rId304" Type="http://schemas.openxmlformats.org/officeDocument/2006/relationships/hyperlink" Target="http://www.plants.usda.gov/java/profile?symbol=FEPA2" TargetMode="External"/><Relationship Id="rId511" Type="http://schemas.openxmlformats.org/officeDocument/2006/relationships/hyperlink" Target="http://www.plants.usda.gov/java/profile?symbol=AGGR2" TargetMode="External"/><Relationship Id="rId609" Type="http://schemas.openxmlformats.org/officeDocument/2006/relationships/hyperlink" Target="http://www.plants.usda.gov/java/profile?symbol=ARLUL2" TargetMode="External"/><Relationship Id="rId956" Type="http://schemas.openxmlformats.org/officeDocument/2006/relationships/hyperlink" Target="http://www.plants.usda.gov/java/profile?symbol=ECPU" TargetMode="External"/><Relationship Id="rId1141" Type="http://schemas.openxmlformats.org/officeDocument/2006/relationships/hyperlink" Target="http://www.plants.usda.gov/java/profile?symbol=HENOO" TargetMode="External"/><Relationship Id="rId1239" Type="http://schemas.openxmlformats.org/officeDocument/2006/relationships/hyperlink" Target="http://www.plants.usda.gov/java/profile?symbol=LEDE" TargetMode="External"/><Relationship Id="rId1793" Type="http://schemas.openxmlformats.org/officeDocument/2006/relationships/hyperlink" Target="http://www.plants.usda.gov/java/profile?symbol=SOCAC3" TargetMode="External"/><Relationship Id="rId85" Type="http://schemas.openxmlformats.org/officeDocument/2006/relationships/hyperlink" Target="http://www.plants.usda.gov/java/profile?symbol=CADA" TargetMode="External"/><Relationship Id="rId816" Type="http://schemas.openxmlformats.org/officeDocument/2006/relationships/hyperlink" Target="http://www.plants.usda.gov/java/profile?symbol=COAM" TargetMode="External"/><Relationship Id="rId1001" Type="http://schemas.openxmlformats.org/officeDocument/2006/relationships/hyperlink" Target="http://www.plants.usda.gov/java/profile?symbol=ERME15" TargetMode="External"/><Relationship Id="rId1446" Type="http://schemas.openxmlformats.org/officeDocument/2006/relationships/hyperlink" Target="http://www.plants.usda.gov/java/profile?symbol=OXALA" TargetMode="External"/><Relationship Id="rId1653" Type="http://schemas.openxmlformats.org/officeDocument/2006/relationships/hyperlink" Target="http://www.plants.usda.gov/java/profile?symbol=RAAB" TargetMode="External"/><Relationship Id="rId1860" Type="http://schemas.openxmlformats.org/officeDocument/2006/relationships/hyperlink" Target="http://www.plants.usda.gov/java/profile?symbol=SYDRD" TargetMode="External"/><Relationship Id="rId1306" Type="http://schemas.openxmlformats.org/officeDocument/2006/relationships/hyperlink" Target="http://www.plants.usda.gov/java/profile?symbol=LUAL2" TargetMode="External"/><Relationship Id="rId1513" Type="http://schemas.openxmlformats.org/officeDocument/2006/relationships/hyperlink" Target="http://www.plants.usda.gov/java/profile?symbol=PHPUI" TargetMode="External"/><Relationship Id="rId1720" Type="http://schemas.openxmlformats.org/officeDocument/2006/relationships/hyperlink" Target="http://www.plants.usda.gov/java/profile?symbol=SAAZG" TargetMode="External"/><Relationship Id="rId1958" Type="http://schemas.openxmlformats.org/officeDocument/2006/relationships/hyperlink" Target="http://www.plants.usda.gov/java/profile?symbol=VEBR" TargetMode="External"/><Relationship Id="rId12" Type="http://schemas.openxmlformats.org/officeDocument/2006/relationships/hyperlink" Target="http://www.plants.usda.gov/java/profile?symbol=ANVIV" TargetMode="External"/><Relationship Id="rId1818" Type="http://schemas.openxmlformats.org/officeDocument/2006/relationships/hyperlink" Target="http://www.plants.usda.gov/java/profile?symbol=SPAN" TargetMode="External"/><Relationship Id="rId161" Type="http://schemas.openxmlformats.org/officeDocument/2006/relationships/hyperlink" Target="http://www.plants.usda.gov/java/profile?symbol=CASH2" TargetMode="External"/><Relationship Id="rId399" Type="http://schemas.openxmlformats.org/officeDocument/2006/relationships/hyperlink" Target="http://www.plants.usda.gov/java/profile?symbol=PIPU7" TargetMode="External"/><Relationship Id="rId2287" Type="http://schemas.openxmlformats.org/officeDocument/2006/relationships/hyperlink" Target="http://www.plants.usda.gov/java/profile?symbol=PIST" TargetMode="External"/><Relationship Id="rId2494" Type="http://schemas.openxmlformats.org/officeDocument/2006/relationships/hyperlink" Target="http://www.plants.usda.gov/about_adv_search.html" TargetMode="External"/><Relationship Id="rId259" Type="http://schemas.openxmlformats.org/officeDocument/2006/relationships/hyperlink" Target="http://www.plants.usda.gov/java/profile?symbol=ELOB2" TargetMode="External"/><Relationship Id="rId466" Type="http://schemas.openxmlformats.org/officeDocument/2006/relationships/hyperlink" Target="http://www.plants.usda.gov/java/profile?symbol=ZIAQ" TargetMode="External"/><Relationship Id="rId673" Type="http://schemas.openxmlformats.org/officeDocument/2006/relationships/hyperlink" Target="http://www.plants.usda.gov/java/profile?symbol=BICE" TargetMode="External"/><Relationship Id="rId880" Type="http://schemas.openxmlformats.org/officeDocument/2006/relationships/hyperlink" Target="http://www.plants.usda.gov/java/profile?symbol=CYCA5" TargetMode="External"/><Relationship Id="rId1096" Type="http://schemas.openxmlformats.org/officeDocument/2006/relationships/hyperlink" Target="http://www.plants.usda.gov/java/profile?symbol=GYDR" TargetMode="External"/><Relationship Id="rId2147" Type="http://schemas.openxmlformats.org/officeDocument/2006/relationships/hyperlink" Target="http://www.plants.usda.gov/java/profile?symbol=COSES" TargetMode="External"/><Relationship Id="rId2354" Type="http://schemas.openxmlformats.org/officeDocument/2006/relationships/hyperlink" Target="http://www.plants.usda.gov/java/profile?symbol=RHARS" TargetMode="External"/><Relationship Id="rId2561" Type="http://schemas.openxmlformats.org/officeDocument/2006/relationships/hyperlink" Target="http://www.plants.usda.gov/java/profile?symbol=POSCC" TargetMode="External"/><Relationship Id="rId119" Type="http://schemas.openxmlformats.org/officeDocument/2006/relationships/hyperlink" Target="http://www.plants.usda.gov/java/profile?symbol=CALA14" TargetMode="External"/><Relationship Id="rId326" Type="http://schemas.openxmlformats.org/officeDocument/2006/relationships/hyperlink" Target="http://www.plants.usda.gov/java/profile?symbol=ISME" TargetMode="External"/><Relationship Id="rId533" Type="http://schemas.openxmlformats.org/officeDocument/2006/relationships/hyperlink" Target="http://www.plants.usda.gov/java/profile?symbol=AMPOP" TargetMode="External"/><Relationship Id="rId978" Type="http://schemas.openxmlformats.org/officeDocument/2006/relationships/hyperlink" Target="http://www.plants.usda.gov/java/profile?symbol=EQLI" TargetMode="External"/><Relationship Id="rId1163" Type="http://schemas.openxmlformats.org/officeDocument/2006/relationships/hyperlink" Target="http://www.plants.usda.gov/java/profile?symbol=HISCI" TargetMode="External"/><Relationship Id="rId1370" Type="http://schemas.openxmlformats.org/officeDocument/2006/relationships/hyperlink" Target="http://www.plants.usda.gov/java/profile?symbol=MIDI3" TargetMode="External"/><Relationship Id="rId2007" Type="http://schemas.openxmlformats.org/officeDocument/2006/relationships/hyperlink" Target="http://www.plants.usda.gov/java/profile?symbol=VILA4" TargetMode="External"/><Relationship Id="rId2214" Type="http://schemas.openxmlformats.org/officeDocument/2006/relationships/hyperlink" Target="http://www.plants.usda.gov/java/profile?symbol=HUPO2" TargetMode="External"/><Relationship Id="rId740" Type="http://schemas.openxmlformats.org/officeDocument/2006/relationships/hyperlink" Target="http://www.plants.usda.gov/java/profile?symbol=CENU2" TargetMode="External"/><Relationship Id="rId838" Type="http://schemas.openxmlformats.org/officeDocument/2006/relationships/hyperlink" Target="http://www.plants.usda.gov/java/profile?symbol=COCUO" TargetMode="External"/><Relationship Id="rId1023" Type="http://schemas.openxmlformats.org/officeDocument/2006/relationships/hyperlink" Target="http://www.plants.usda.gov/java/profile?symbol=EUFU3" TargetMode="External"/><Relationship Id="rId1468" Type="http://schemas.openxmlformats.org/officeDocument/2006/relationships/hyperlink" Target="http://www.plants.usda.gov/java/profile?symbol=PECAC3" TargetMode="External"/><Relationship Id="rId1675" Type="http://schemas.openxmlformats.org/officeDocument/2006/relationships/hyperlink" Target="http://www.plants.usda.gov/java/profile?symbol=RAPI" TargetMode="External"/><Relationship Id="rId1882" Type="http://schemas.openxmlformats.org/officeDocument/2006/relationships/hyperlink" Target="http://www.plants.usda.gov/java/profile?symbol=SYON2" TargetMode="External"/><Relationship Id="rId2421" Type="http://schemas.openxmlformats.org/officeDocument/2006/relationships/hyperlink" Target="http://www.plants.usda.gov/java/profile?symbol=SARU" TargetMode="External"/><Relationship Id="rId2519" Type="http://schemas.openxmlformats.org/officeDocument/2006/relationships/hyperlink" Target="http://www.plants.usda.gov/java/profile?symbol=CUFO" TargetMode="External"/><Relationship Id="rId600" Type="http://schemas.openxmlformats.org/officeDocument/2006/relationships/hyperlink" Target="http://www.plants.usda.gov/java/profile?symbol=ARSE3" TargetMode="External"/><Relationship Id="rId1230" Type="http://schemas.openxmlformats.org/officeDocument/2006/relationships/hyperlink" Target="http://www.plants.usda.gov/java/profile?symbol=LERA" TargetMode="External"/><Relationship Id="rId1328" Type="http://schemas.openxmlformats.org/officeDocument/2006/relationships/hyperlink" Target="http://www.plants.usda.gov/java/profile?symbol=LYQU" TargetMode="External"/><Relationship Id="rId1535" Type="http://schemas.openxmlformats.org/officeDocument/2006/relationships/hyperlink" Target="http://www.plants.usda.gov/java/profile?symbol=PLAQ2" TargetMode="External"/><Relationship Id="rId905" Type="http://schemas.openxmlformats.org/officeDocument/2006/relationships/hyperlink" Target="http://www.plants.usda.gov/java/profile?symbol=DECAV2" TargetMode="External"/><Relationship Id="rId1742" Type="http://schemas.openxmlformats.org/officeDocument/2006/relationships/hyperlink" Target="http://www.plants.usda.gov/java/profile?symbol=SCOVO" TargetMode="External"/><Relationship Id="rId34" Type="http://schemas.openxmlformats.org/officeDocument/2006/relationships/hyperlink" Target="http://www.plants.usda.gov/java/profile?symbol=BRCI2" TargetMode="External"/><Relationship Id="rId1602" Type="http://schemas.openxmlformats.org/officeDocument/2006/relationships/hyperlink" Target="http://www.plants.usda.gov/java/profile?symbol=POGR8" TargetMode="External"/><Relationship Id="rId183" Type="http://schemas.openxmlformats.org/officeDocument/2006/relationships/hyperlink" Target="http://www.plants.usda.gov/java/profile?symbol=CAVE6" TargetMode="External"/><Relationship Id="rId390" Type="http://schemas.openxmlformats.org/officeDocument/2006/relationships/hyperlink" Target="http://www.plants.usda.gov/java/profile?symbol=PAGA" TargetMode="External"/><Relationship Id="rId1907" Type="http://schemas.openxmlformats.org/officeDocument/2006/relationships/hyperlink" Target="http://www.plants.usda.gov/java/profile?symbol=THDA" TargetMode="External"/><Relationship Id="rId2071" Type="http://schemas.openxmlformats.org/officeDocument/2006/relationships/hyperlink" Target="http://www.plants.usda.gov/java/profile?symbol=AMTR" TargetMode="External"/><Relationship Id="rId250" Type="http://schemas.openxmlformats.org/officeDocument/2006/relationships/hyperlink" Target="http://www.plants.usda.gov/java/profile?symbol=ELACA" TargetMode="External"/><Relationship Id="rId488" Type="http://schemas.openxmlformats.org/officeDocument/2006/relationships/hyperlink" Target="http://www.plants.usda.gov/java/profile?symbol=ACRU2" TargetMode="External"/><Relationship Id="rId695" Type="http://schemas.openxmlformats.org/officeDocument/2006/relationships/hyperlink" Target="http://www.plants.usda.gov/java/profile?symbol=BREU" TargetMode="External"/><Relationship Id="rId2169" Type="http://schemas.openxmlformats.org/officeDocument/2006/relationships/hyperlink" Target="http://www.plants.usda.gov/java/profile?symbol=DAPUP" TargetMode="External"/><Relationship Id="rId2376" Type="http://schemas.openxmlformats.org/officeDocument/2006/relationships/hyperlink" Target="http://www.plants.usda.gov/java/profile?symbol=ROARS" TargetMode="External"/><Relationship Id="rId2583" Type="http://schemas.openxmlformats.org/officeDocument/2006/relationships/hyperlink" Target="http://www.plants.usda.gov/java/profile?symbol=VIAEA2" TargetMode="External"/><Relationship Id="rId110" Type="http://schemas.openxmlformats.org/officeDocument/2006/relationships/hyperlink" Target="http://www.plants.usda.gov/java/profile?symbol=CAHY3" TargetMode="External"/><Relationship Id="rId348" Type="http://schemas.openxmlformats.org/officeDocument/2006/relationships/hyperlink" Target="http://www.plants.usda.gov/java/profile?symbol=JUVA" TargetMode="External"/><Relationship Id="rId555" Type="http://schemas.openxmlformats.org/officeDocument/2006/relationships/hyperlink" Target="http://www.plants.usda.gov/java/profile?symbol=ANCA8" TargetMode="External"/><Relationship Id="rId762" Type="http://schemas.openxmlformats.org/officeDocument/2006/relationships/hyperlink" Target="http://www.plants.usda.gov/java/profile?symbol=CHOB3" TargetMode="External"/><Relationship Id="rId1185" Type="http://schemas.openxmlformats.org/officeDocument/2006/relationships/hyperlink" Target="http://www.plants.usda.gov/java/profile?symbol=HYDR" TargetMode="External"/><Relationship Id="rId1392" Type="http://schemas.openxmlformats.org/officeDocument/2006/relationships/hyperlink" Target="http://www.plants.usda.gov/java/profile?symbol=MYSI" TargetMode="External"/><Relationship Id="rId2029" Type="http://schemas.openxmlformats.org/officeDocument/2006/relationships/hyperlink" Target="http://www.plants.usda.gov/java/profile?symbol=WOCO" TargetMode="External"/><Relationship Id="rId2236" Type="http://schemas.openxmlformats.org/officeDocument/2006/relationships/hyperlink" Target="http://www.plants.usda.gov/java/profile?symbol=LYDI3" TargetMode="External"/><Relationship Id="rId2443" Type="http://schemas.openxmlformats.org/officeDocument/2006/relationships/hyperlink" Target="http://www.plants.usda.gov/java/profile?symbol=SCMA2" TargetMode="External"/><Relationship Id="rId208" Type="http://schemas.openxmlformats.org/officeDocument/2006/relationships/hyperlink" Target="http://www.plants.usda.gov/java/profile?symbol=DIAC2" TargetMode="External"/><Relationship Id="rId415" Type="http://schemas.openxmlformats.org/officeDocument/2006/relationships/hyperlink" Target="http://www.plants.usda.gov/java/profile?symbol=SCSC" TargetMode="External"/><Relationship Id="rId622" Type="http://schemas.openxmlformats.org/officeDocument/2006/relationships/hyperlink" Target="http://www.plants.usda.gov/java/profile?symbol=ASME" TargetMode="External"/><Relationship Id="rId1045" Type="http://schemas.openxmlformats.org/officeDocument/2006/relationships/hyperlink" Target="http://www.plants.usda.gov/java/profile?symbol=GABO2" TargetMode="External"/><Relationship Id="rId1252" Type="http://schemas.openxmlformats.org/officeDocument/2006/relationships/hyperlink" Target="http://www.plants.usda.gov/java/profile?symbol=LIAS" TargetMode="External"/><Relationship Id="rId1697" Type="http://schemas.openxmlformats.org/officeDocument/2006/relationships/hyperlink" Target="http://www.plants.usda.gov/java/profile?symbol=RUMA4" TargetMode="External"/><Relationship Id="rId2303" Type="http://schemas.openxmlformats.org/officeDocument/2006/relationships/hyperlink" Target="http://www.plants.usda.gov/java/profile?symbol=POARA4" TargetMode="External"/><Relationship Id="rId2510" Type="http://schemas.openxmlformats.org/officeDocument/2006/relationships/hyperlink" Target="http://www.plants.usda.gov/java/profile?symbol=CASPS" TargetMode="External"/><Relationship Id="rId927" Type="http://schemas.openxmlformats.org/officeDocument/2006/relationships/hyperlink" Target="http://www.plants.usda.gov/java/profile?symbol=DITE2" TargetMode="External"/><Relationship Id="rId1112" Type="http://schemas.openxmlformats.org/officeDocument/2006/relationships/hyperlink" Target="http://www.plants.usda.gov/java/profile?symbol=HECA3" TargetMode="External"/><Relationship Id="rId1557" Type="http://schemas.openxmlformats.org/officeDocument/2006/relationships/hyperlink" Target="http://www.plants.usda.gov/java/profile?symbol=POPO" TargetMode="External"/><Relationship Id="rId1764" Type="http://schemas.openxmlformats.org/officeDocument/2006/relationships/hyperlink" Target="http://www.plants.usda.gov/java/profile?symbol=SIIND" TargetMode="External"/><Relationship Id="rId1971" Type="http://schemas.openxmlformats.org/officeDocument/2006/relationships/hyperlink" Target="http://www.plants.usda.gov/java/profile?symbol=VEURL" TargetMode="External"/><Relationship Id="rId56" Type="http://schemas.openxmlformats.org/officeDocument/2006/relationships/hyperlink" Target="http://www.plants.usda.gov/java/profile?symbol=CAAL8" TargetMode="External"/><Relationship Id="rId1417" Type="http://schemas.openxmlformats.org/officeDocument/2006/relationships/hyperlink" Target="http://www.plants.usda.gov/java/profile?symbol=OEPI2" TargetMode="External"/><Relationship Id="rId1624" Type="http://schemas.openxmlformats.org/officeDocument/2006/relationships/hyperlink" Target="http://www.plants.usda.gov/java/profile?symbol=POPEP5" TargetMode="External"/><Relationship Id="rId1831" Type="http://schemas.openxmlformats.org/officeDocument/2006/relationships/hyperlink" Target="http://www.plants.usda.gov/java/profile?symbol=SPOV" TargetMode="External"/><Relationship Id="rId1929" Type="http://schemas.openxmlformats.org/officeDocument/2006/relationships/hyperlink" Target="http://www.plants.usda.gov/java/profile?symbol=TRCE" TargetMode="External"/><Relationship Id="rId2093" Type="http://schemas.openxmlformats.org/officeDocument/2006/relationships/hyperlink" Target="http://www.plants.usda.gov/java/profile?symbol=ARLU" TargetMode="External"/><Relationship Id="rId2398" Type="http://schemas.openxmlformats.org/officeDocument/2006/relationships/hyperlink" Target="http://www.plants.usda.gov/java/profile?symbol=RUIDS2" TargetMode="External"/><Relationship Id="rId272" Type="http://schemas.openxmlformats.org/officeDocument/2006/relationships/hyperlink" Target="http://www.plants.usda.gov/java/profile?symbol=ELMO4" TargetMode="External"/><Relationship Id="rId577" Type="http://schemas.openxmlformats.org/officeDocument/2006/relationships/hyperlink" Target="http://www.plants.usda.gov/java/profile?symbol=ARCA" TargetMode="External"/><Relationship Id="rId2160" Type="http://schemas.openxmlformats.org/officeDocument/2006/relationships/hyperlink" Target="http://www.plants.usda.gov/java/profile?symbol=CRPU" TargetMode="External"/><Relationship Id="rId2258" Type="http://schemas.openxmlformats.org/officeDocument/2006/relationships/hyperlink" Target="http://www.plants.usda.gov/java/profile?symbol=OESP2" TargetMode="External"/><Relationship Id="rId132" Type="http://schemas.openxmlformats.org/officeDocument/2006/relationships/hyperlink" Target="http://www.plants.usda.gov/java/profile?symbol=CAME2" TargetMode="External"/><Relationship Id="rId784" Type="http://schemas.openxmlformats.org/officeDocument/2006/relationships/hyperlink" Target="http://www.plants.usda.gov/java/profile?symbol=CIMAA" TargetMode="External"/><Relationship Id="rId991" Type="http://schemas.openxmlformats.org/officeDocument/2006/relationships/hyperlink" Target="http://www.plants.usda.gov/java/profile?symbol=ERYU" TargetMode="External"/><Relationship Id="rId1067" Type="http://schemas.openxmlformats.org/officeDocument/2006/relationships/hyperlink" Target="http://www.plants.usda.gov/java/profile?symbol=GEPA4" TargetMode="External"/><Relationship Id="rId2020" Type="http://schemas.openxmlformats.org/officeDocument/2006/relationships/hyperlink" Target="http://www.plants.usda.gov/java/profile?symbol=VISAO" TargetMode="External"/><Relationship Id="rId2465" Type="http://schemas.openxmlformats.org/officeDocument/2006/relationships/hyperlink" Target="http://www.plants.usda.gov/java/profile?symbol=SYOOO" TargetMode="External"/><Relationship Id="rId437" Type="http://schemas.openxmlformats.org/officeDocument/2006/relationships/hyperlink" Target="http://www.plants.usda.gov/java/profile?symbol=SCTR" TargetMode="External"/><Relationship Id="rId644" Type="http://schemas.openxmlformats.org/officeDocument/2006/relationships/hyperlink" Target="http://www.plants.usda.gov/java/profile?symbol=ASDID3" TargetMode="External"/><Relationship Id="rId851" Type="http://schemas.openxmlformats.org/officeDocument/2006/relationships/hyperlink" Target="http://www.plants.usda.gov/java/profile?symbol=CRMO6" TargetMode="External"/><Relationship Id="rId1274" Type="http://schemas.openxmlformats.org/officeDocument/2006/relationships/hyperlink" Target="http://www.plants.usda.gov/java/profile?symbol=LIME2" TargetMode="External"/><Relationship Id="rId1481" Type="http://schemas.openxmlformats.org/officeDocument/2006/relationships/hyperlink" Target="http://www.plants.usda.gov/java/profile?symbol=PEGR7" TargetMode="External"/><Relationship Id="rId1579" Type="http://schemas.openxmlformats.org/officeDocument/2006/relationships/hyperlink" Target="http://www.plants.usda.gov/java/profile?symbol=POPUC2" TargetMode="External"/><Relationship Id="rId2118" Type="http://schemas.openxmlformats.org/officeDocument/2006/relationships/hyperlink" Target="http://www.plants.usda.gov/java/profile?symbol=CANU8" TargetMode="External"/><Relationship Id="rId2325" Type="http://schemas.openxmlformats.org/officeDocument/2006/relationships/hyperlink" Target="http://www.plants.usda.gov/java/profile?symbol=QUBI" TargetMode="External"/><Relationship Id="rId2532" Type="http://schemas.openxmlformats.org/officeDocument/2006/relationships/hyperlink" Target="http://www.plants.usda.gov/java/profile?symbol=CUPO" TargetMode="External"/><Relationship Id="rId504" Type="http://schemas.openxmlformats.org/officeDocument/2006/relationships/hyperlink" Target="http://www.plants.usda.gov/java/profile?symbol=AGFO" TargetMode="External"/><Relationship Id="rId711" Type="http://schemas.openxmlformats.org/officeDocument/2006/relationships/hyperlink" Target="http://www.plants.usda.gov/java/profile?symbol=CAMA23" TargetMode="External"/><Relationship Id="rId949" Type="http://schemas.openxmlformats.org/officeDocument/2006/relationships/hyperlink" Target="http://www.plants.usda.gov/java/profile?symbol=DRMA4" TargetMode="External"/><Relationship Id="rId1134" Type="http://schemas.openxmlformats.org/officeDocument/2006/relationships/hyperlink" Target="http://www.plants.usda.gov/java/profile?symbol=HETU" TargetMode="External"/><Relationship Id="rId1341" Type="http://schemas.openxmlformats.org/officeDocument/2006/relationships/hyperlink" Target="http://www.plants.usda.gov/java/profile?symbol=MASA" TargetMode="External"/><Relationship Id="rId1786" Type="http://schemas.openxmlformats.org/officeDocument/2006/relationships/hyperlink" Target="http://www.plants.usda.gov/java/profile?symbol=SOIN2" TargetMode="External"/><Relationship Id="rId1993" Type="http://schemas.openxmlformats.org/officeDocument/2006/relationships/hyperlink" Target="http://www.plants.usda.gov/java/profile?symbol=VESE" TargetMode="External"/><Relationship Id="rId78" Type="http://schemas.openxmlformats.org/officeDocument/2006/relationships/hyperlink" Target="http://www.plants.usda.gov/java/profile?symbol=CACO14" TargetMode="External"/><Relationship Id="rId809" Type="http://schemas.openxmlformats.org/officeDocument/2006/relationships/hyperlink" Target="http://www.plants.usda.gov/java/profile?symbol=COUM" TargetMode="External"/><Relationship Id="rId1201" Type="http://schemas.openxmlformats.org/officeDocument/2006/relationships/hyperlink" Target="http://www.plants.usda.gov/java/profile?symbol=IPRU2" TargetMode="External"/><Relationship Id="rId1439" Type="http://schemas.openxmlformats.org/officeDocument/2006/relationships/hyperlink" Target="http://www.plants.usda.gov/java/profile?symbol=OSLO" TargetMode="External"/><Relationship Id="rId1646" Type="http://schemas.openxmlformats.org/officeDocument/2006/relationships/hyperlink" Target="http://www.plants.usda.gov/java/profile?symbol=PUPA5" TargetMode="External"/><Relationship Id="rId1853" Type="http://schemas.openxmlformats.org/officeDocument/2006/relationships/hyperlink" Target="http://www.plants.usda.gov/java/profile?symbol=STPIP2" TargetMode="External"/><Relationship Id="rId1506" Type="http://schemas.openxmlformats.org/officeDocument/2006/relationships/hyperlink" Target="http://www.plants.usda.gov/java/profile?symbol=PHHE5" TargetMode="External"/><Relationship Id="rId1713" Type="http://schemas.openxmlformats.org/officeDocument/2006/relationships/hyperlink" Target="http://www.plants.usda.gov/java/profile?symbol=SACU" TargetMode="External"/><Relationship Id="rId1920" Type="http://schemas.openxmlformats.org/officeDocument/2006/relationships/hyperlink" Target="http://www.plants.usda.gov/java/profile?symbol=TRBR" TargetMode="External"/><Relationship Id="rId294" Type="http://schemas.openxmlformats.org/officeDocument/2006/relationships/hyperlink" Target="http://www.plants.usda.gov/java/profile?symbol=ERPEP2" TargetMode="External"/><Relationship Id="rId2182" Type="http://schemas.openxmlformats.org/officeDocument/2006/relationships/hyperlink" Target="http://www.plants.usda.gov/java/profile?symbol=ERCA14" TargetMode="External"/><Relationship Id="rId154" Type="http://schemas.openxmlformats.org/officeDocument/2006/relationships/hyperlink" Target="http://www.plants.usda.gov/java/profile?symbol=CARI" TargetMode="External"/><Relationship Id="rId361" Type="http://schemas.openxmlformats.org/officeDocument/2006/relationships/hyperlink" Target="http://www.plants.usda.gov/java/profile?symbol=LUEC" TargetMode="External"/><Relationship Id="rId599" Type="http://schemas.openxmlformats.org/officeDocument/2006/relationships/hyperlink" Target="http://www.plants.usda.gov/java/profile?symbol=ARTRT3" TargetMode="External"/><Relationship Id="rId2042" Type="http://schemas.openxmlformats.org/officeDocument/2006/relationships/hyperlink" Target="http://www.plants.usda.gov/java/profile?symbol=ZIEL2" TargetMode="External"/><Relationship Id="rId2487" Type="http://schemas.openxmlformats.org/officeDocument/2006/relationships/hyperlink" Target="http://www.plants.usda.gov/java/profile?symbol=VIOP" TargetMode="External"/><Relationship Id="rId459" Type="http://schemas.openxmlformats.org/officeDocument/2006/relationships/hyperlink" Target="http://www.plants.usda.gov/java/profile?symbol=TRPU4" TargetMode="External"/><Relationship Id="rId666" Type="http://schemas.openxmlformats.org/officeDocument/2006/relationships/hyperlink" Target="http://www.plants.usda.gov/java/profile?symbol=BABRL2" TargetMode="External"/><Relationship Id="rId873" Type="http://schemas.openxmlformats.org/officeDocument/2006/relationships/hyperlink" Target="http://www.plants.usda.gov/java/profile?symbol=CYAT" TargetMode="External"/><Relationship Id="rId1089" Type="http://schemas.openxmlformats.org/officeDocument/2006/relationships/hyperlink" Target="http://www.plants.usda.gov/java/profile?symbol=GRNE" TargetMode="External"/><Relationship Id="rId1296" Type="http://schemas.openxmlformats.org/officeDocument/2006/relationships/hyperlink" Target="http://www.plants.usda.gov/java/profile?symbol=LOSPC" TargetMode="External"/><Relationship Id="rId2347" Type="http://schemas.openxmlformats.org/officeDocument/2006/relationships/hyperlink" Target="http://www.plants.usda.gov/java/profile?symbol=QUVE" TargetMode="External"/><Relationship Id="rId2554" Type="http://schemas.openxmlformats.org/officeDocument/2006/relationships/hyperlink" Target="http://www.plants.usda.gov/java/profile?symbol=MECA3" TargetMode="External"/><Relationship Id="rId221" Type="http://schemas.openxmlformats.org/officeDocument/2006/relationships/hyperlink" Target="http://www.plants.usda.gov/java/profile?symbol=DILO4" TargetMode="External"/><Relationship Id="rId319" Type="http://schemas.openxmlformats.org/officeDocument/2006/relationships/hyperlink" Target="http://www.plants.usda.gov/java/profile?symbol=HECOC8" TargetMode="External"/><Relationship Id="rId526" Type="http://schemas.openxmlformats.org/officeDocument/2006/relationships/hyperlink" Target="http://www.plants.usda.gov/java/profile?symbol=ALPEP" TargetMode="External"/><Relationship Id="rId1156" Type="http://schemas.openxmlformats.org/officeDocument/2006/relationships/hyperlink" Target="http://www.plants.usda.gov/java/profile?symbol=HERI" TargetMode="External"/><Relationship Id="rId1363" Type="http://schemas.openxmlformats.org/officeDocument/2006/relationships/hyperlink" Target="http://www.plants.usda.gov/java/profile?symbol=MIRIR" TargetMode="External"/><Relationship Id="rId2207" Type="http://schemas.openxmlformats.org/officeDocument/2006/relationships/hyperlink" Target="http://www.plants.usda.gov/java/profile?symbol=HEVI4" TargetMode="External"/><Relationship Id="rId733" Type="http://schemas.openxmlformats.org/officeDocument/2006/relationships/hyperlink" Target="http://www.plants.usda.gov/java/profile?symbol=CATH2" TargetMode="External"/><Relationship Id="rId940" Type="http://schemas.openxmlformats.org/officeDocument/2006/relationships/hyperlink" Target="http://www.plants.usda.gov/java/profile?symbol=DRRE2" TargetMode="External"/><Relationship Id="rId1016" Type="http://schemas.openxmlformats.org/officeDocument/2006/relationships/hyperlink" Target="http://www.plants.usda.gov/java/profile?symbol=EUCO10" TargetMode="External"/><Relationship Id="rId1570" Type="http://schemas.openxmlformats.org/officeDocument/2006/relationships/hyperlink" Target="http://www.plants.usda.gov/java/profile?symbol=POBE" TargetMode="External"/><Relationship Id="rId1668" Type="http://schemas.openxmlformats.org/officeDocument/2006/relationships/hyperlink" Target="http://www.plants.usda.gov/java/profile?symbol=RARH" TargetMode="External"/><Relationship Id="rId1875" Type="http://schemas.openxmlformats.org/officeDocument/2006/relationships/hyperlink" Target="http://www.plants.usda.gov/java/profile?symbol=SYLAI3" TargetMode="External"/><Relationship Id="rId2414" Type="http://schemas.openxmlformats.org/officeDocument/2006/relationships/hyperlink" Target="http://www.plants.usda.gov/java/profile?symbol=RUSE3" TargetMode="External"/><Relationship Id="rId800" Type="http://schemas.openxmlformats.org/officeDocument/2006/relationships/hyperlink" Target="http://www.plants.usda.gov/java/profile?symbol=CIUNU" TargetMode="External"/><Relationship Id="rId1223" Type="http://schemas.openxmlformats.org/officeDocument/2006/relationships/hyperlink" Target="http://www.plants.usda.gov/java/profile?symbol=LAOCO" TargetMode="External"/><Relationship Id="rId1430" Type="http://schemas.openxmlformats.org/officeDocument/2006/relationships/hyperlink" Target="http://www.plants.usda.gov/java/profile?symbol=ONBEH" TargetMode="External"/><Relationship Id="rId1528" Type="http://schemas.openxmlformats.org/officeDocument/2006/relationships/hyperlink" Target="http://www.plants.usda.gov/java/profile?symbol=PLAR3" TargetMode="External"/><Relationship Id="rId1735" Type="http://schemas.openxmlformats.org/officeDocument/2006/relationships/hyperlink" Target="http://www.plants.usda.gov/java/profile?symbol=SCGA" TargetMode="External"/><Relationship Id="rId1942" Type="http://schemas.openxmlformats.org/officeDocument/2006/relationships/hyperlink" Target="http://www.plants.usda.gov/java/profile?symbol=TYLA" TargetMode="External"/><Relationship Id="rId27" Type="http://schemas.openxmlformats.org/officeDocument/2006/relationships/hyperlink" Target="http://www.plants.usda.gov/java/profile?symbol=BOCUC2" TargetMode="External"/><Relationship Id="rId1802" Type="http://schemas.openxmlformats.org/officeDocument/2006/relationships/hyperlink" Target="http://www.plants.usda.gov/java/profile?symbol=SOMO" TargetMode="External"/><Relationship Id="rId176" Type="http://schemas.openxmlformats.org/officeDocument/2006/relationships/hyperlink" Target="http://www.plants.usda.gov/java/profile?symbol=CATR7" TargetMode="External"/><Relationship Id="rId383" Type="http://schemas.openxmlformats.org/officeDocument/2006/relationships/hyperlink" Target="http://www.plants.usda.gov/java/profile?symbol=NERE3" TargetMode="External"/><Relationship Id="rId590" Type="http://schemas.openxmlformats.org/officeDocument/2006/relationships/hyperlink" Target="http://www.plants.usda.gov/java/profile?symbol=ARRAR" TargetMode="External"/><Relationship Id="rId2064" Type="http://schemas.openxmlformats.org/officeDocument/2006/relationships/hyperlink" Target="http://www.plants.usda.gov/java/profile?symbol=AEMA2" TargetMode="External"/><Relationship Id="rId2271" Type="http://schemas.openxmlformats.org/officeDocument/2006/relationships/hyperlink" Target="http://www.plants.usda.gov/java/profile?symbol=PHPU4" TargetMode="External"/><Relationship Id="rId243" Type="http://schemas.openxmlformats.org/officeDocument/2006/relationships/hyperlink" Target="http://www.plants.usda.gov/java/profile?symbol=DUAR3" TargetMode="External"/><Relationship Id="rId450" Type="http://schemas.openxmlformats.org/officeDocument/2006/relationships/hyperlink" Target="http://www.plants.usda.gov/java/profile?symbol=SPCR" TargetMode="External"/><Relationship Id="rId688" Type="http://schemas.openxmlformats.org/officeDocument/2006/relationships/hyperlink" Target="http://www.plants.usda.gov/java/profile?symbol=BOCA5" TargetMode="External"/><Relationship Id="rId895" Type="http://schemas.openxmlformats.org/officeDocument/2006/relationships/hyperlink" Target="http://www.plants.usda.gov/java/profile?symbol=DAEN" TargetMode="External"/><Relationship Id="rId1080" Type="http://schemas.openxmlformats.org/officeDocument/2006/relationships/hyperlink" Target="http://www.plants.usda.gov/java/profile?symbol=GECAC6" TargetMode="External"/><Relationship Id="rId2131" Type="http://schemas.openxmlformats.org/officeDocument/2006/relationships/hyperlink" Target="http://www.plants.usda.gov/java/profile?symbol=CECAC" TargetMode="External"/><Relationship Id="rId2369" Type="http://schemas.openxmlformats.org/officeDocument/2006/relationships/hyperlink" Target="http://www.plants.usda.gov/java/profile?symbol=ROHI" TargetMode="External"/><Relationship Id="rId2576" Type="http://schemas.openxmlformats.org/officeDocument/2006/relationships/hyperlink" Target="http://www.plants.usda.gov/java/profile?symbol=TORA2" TargetMode="External"/><Relationship Id="rId103" Type="http://schemas.openxmlformats.org/officeDocument/2006/relationships/hyperlink" Target="http://www.plants.usda.gov/java/profile?symbol=CAGRL" TargetMode="External"/><Relationship Id="rId310" Type="http://schemas.openxmlformats.org/officeDocument/2006/relationships/hyperlink" Target="http://www.plants.usda.gov/java/profile?symbol=FIAU2" TargetMode="External"/><Relationship Id="rId548" Type="http://schemas.openxmlformats.org/officeDocument/2006/relationships/hyperlink" Target="http://www.plants.usda.gov/java/profile?symbol=AMBR2" TargetMode="External"/><Relationship Id="rId755" Type="http://schemas.openxmlformats.org/officeDocument/2006/relationships/hyperlink" Target="http://www.plants.usda.gov/java/profile?symbol=CHSE6" TargetMode="External"/><Relationship Id="rId962" Type="http://schemas.openxmlformats.org/officeDocument/2006/relationships/hyperlink" Target="http://www.plants.usda.gov/java/profile?symbol=ELNY" TargetMode="External"/><Relationship Id="rId1178" Type="http://schemas.openxmlformats.org/officeDocument/2006/relationships/hyperlink" Target="http://www.plants.usda.gov/java/profile?symbol=HYAP" TargetMode="External"/><Relationship Id="rId1385" Type="http://schemas.openxmlformats.org/officeDocument/2006/relationships/hyperlink" Target="http://www.plants.usda.gov/java/profile?symbol=MOHY3" TargetMode="External"/><Relationship Id="rId1592" Type="http://schemas.openxmlformats.org/officeDocument/2006/relationships/hyperlink" Target="http://www.plants.usda.gov/java/profile?symbol=POACA" TargetMode="External"/><Relationship Id="rId2229" Type="http://schemas.openxmlformats.org/officeDocument/2006/relationships/hyperlink" Target="http://www.plants.usda.gov/java/profile?symbol=LIPE2" TargetMode="External"/><Relationship Id="rId2436" Type="http://schemas.openxmlformats.org/officeDocument/2006/relationships/hyperlink" Target="http://www.plants.usda.gov/java/profile?symbol=SAPE5" TargetMode="External"/><Relationship Id="rId91" Type="http://schemas.openxmlformats.org/officeDocument/2006/relationships/hyperlink" Target="http://www.plants.usda.gov/java/profile?symbol=CAEB2" TargetMode="External"/><Relationship Id="rId408" Type="http://schemas.openxmlformats.org/officeDocument/2006/relationships/hyperlink" Target="http://www.plants.usda.gov/java/profile?symbol=POSA" TargetMode="External"/><Relationship Id="rId615" Type="http://schemas.openxmlformats.org/officeDocument/2006/relationships/hyperlink" Target="http://www.plants.usda.gov/java/profile?symbol=ASAM" TargetMode="External"/><Relationship Id="rId822" Type="http://schemas.openxmlformats.org/officeDocument/2006/relationships/hyperlink" Target="http://www.plants.usda.gov/java/profile?symbol=COOD7" TargetMode="External"/><Relationship Id="rId1038" Type="http://schemas.openxmlformats.org/officeDocument/2006/relationships/hyperlink" Target="http://www.plants.usda.gov/java/profile?symbol=FRFLC" TargetMode="External"/><Relationship Id="rId1245" Type="http://schemas.openxmlformats.org/officeDocument/2006/relationships/hyperlink" Target="http://www.plants.usda.gov/java/profile?symbol=LENU" TargetMode="External"/><Relationship Id="rId1452" Type="http://schemas.openxmlformats.org/officeDocument/2006/relationships/hyperlink" Target="http://www.plants.usda.gov/java/profile?symbol=OXLAL2" TargetMode="External"/><Relationship Id="rId1897" Type="http://schemas.openxmlformats.org/officeDocument/2006/relationships/hyperlink" Target="http://www.plants.usda.gov/java/profile?symbol=SYTU2" TargetMode="External"/><Relationship Id="rId2503" Type="http://schemas.openxmlformats.org/officeDocument/2006/relationships/hyperlink" Target="http://www.plants.usda.gov/java/profile?symbol=CASE13" TargetMode="External"/><Relationship Id="rId1105" Type="http://schemas.openxmlformats.org/officeDocument/2006/relationships/hyperlink" Target="http://www.plants.usda.gov/java/profile?symbol=HEHI" TargetMode="External"/><Relationship Id="rId1312" Type="http://schemas.openxmlformats.org/officeDocument/2006/relationships/hyperlink" Target="http://www.plants.usda.gov/java/profile?symbol=LUPEP" TargetMode="External"/><Relationship Id="rId1757" Type="http://schemas.openxmlformats.org/officeDocument/2006/relationships/hyperlink" Target="http://www.plants.usda.gov/java/profile?symbol=SISP" TargetMode="External"/><Relationship Id="rId1964" Type="http://schemas.openxmlformats.org/officeDocument/2006/relationships/hyperlink" Target="http://www.plants.usda.gov/java/profile?symbol=VEIL" TargetMode="External"/><Relationship Id="rId49" Type="http://schemas.openxmlformats.org/officeDocument/2006/relationships/hyperlink" Target="http://www.plants.usda.gov/java/profile?symbol=CALO" TargetMode="External"/><Relationship Id="rId1617" Type="http://schemas.openxmlformats.org/officeDocument/2006/relationships/hyperlink" Target="http://www.plants.usda.gov/java/profile?symbol=POARA4" TargetMode="External"/><Relationship Id="rId1824" Type="http://schemas.openxmlformats.org/officeDocument/2006/relationships/hyperlink" Target="http://www.plants.usda.gov/java/profile?symbol=SPCOC" TargetMode="External"/><Relationship Id="rId198" Type="http://schemas.openxmlformats.org/officeDocument/2006/relationships/hyperlink" Target="http://www.plants.usda.gov/java/profile?symbol=CYES" TargetMode="External"/><Relationship Id="rId2086" Type="http://schemas.openxmlformats.org/officeDocument/2006/relationships/hyperlink" Target="http://www.plants.usda.gov/java/profile?symbol=AMNA" TargetMode="External"/><Relationship Id="rId2293" Type="http://schemas.openxmlformats.org/officeDocument/2006/relationships/hyperlink" Target="http://www.plants.usda.gov/java/profile?symbol=POBAB2" TargetMode="External"/><Relationship Id="rId265" Type="http://schemas.openxmlformats.org/officeDocument/2006/relationships/hyperlink" Target="http://www.plants.usda.gov/java/profile?symbol=ELPA5" TargetMode="External"/><Relationship Id="rId472" Type="http://schemas.openxmlformats.org/officeDocument/2006/relationships/hyperlink" Target="http://www.plants.usda.gov/about_adv_search.html" TargetMode="External"/><Relationship Id="rId900" Type="http://schemas.openxmlformats.org/officeDocument/2006/relationships/hyperlink" Target="http://www.plants.usda.gov/java/profile?symbol=DAVIV" TargetMode="External"/><Relationship Id="rId1323" Type="http://schemas.openxmlformats.org/officeDocument/2006/relationships/hyperlink" Target="http://www.plants.usda.gov/java/profile?symbol=LYVI4" TargetMode="External"/><Relationship Id="rId1530" Type="http://schemas.openxmlformats.org/officeDocument/2006/relationships/hyperlink" Target="http://www.plants.usda.gov/java/profile?symbol=PLER" TargetMode="External"/><Relationship Id="rId1628" Type="http://schemas.openxmlformats.org/officeDocument/2006/relationships/hyperlink" Target="http://www.plants.usda.gov/java/profile?symbol=PRAS" TargetMode="External"/><Relationship Id="rId1975" Type="http://schemas.openxmlformats.org/officeDocument/2006/relationships/hyperlink" Target="http://www.plants.usda.gov/java/profile?symbol=VEENE2" TargetMode="External"/><Relationship Id="rId2153" Type="http://schemas.openxmlformats.org/officeDocument/2006/relationships/hyperlink" Target="http://www.plants.usda.gov/java/profile?symbol=CRCHC2" TargetMode="External"/><Relationship Id="rId2360" Type="http://schemas.openxmlformats.org/officeDocument/2006/relationships/hyperlink" Target="http://www.plants.usda.gov/java/profile?symbol=RHTY" TargetMode="External"/><Relationship Id="rId125" Type="http://schemas.openxmlformats.org/officeDocument/2006/relationships/hyperlink" Target="http://www.plants.usda.gov/java/profile?symbol=CALE6" TargetMode="External"/><Relationship Id="rId332" Type="http://schemas.openxmlformats.org/officeDocument/2006/relationships/hyperlink" Target="http://www.plants.usda.gov/java/profile?symbol=JUARL" TargetMode="External"/><Relationship Id="rId777" Type="http://schemas.openxmlformats.org/officeDocument/2006/relationships/hyperlink" Target="http://www.plants.usda.gov/java/profile?symbol=CHSI2" TargetMode="External"/><Relationship Id="rId984" Type="http://schemas.openxmlformats.org/officeDocument/2006/relationships/hyperlink" Target="http://www.plants.usda.gov/java/profile?symbol=ERAN" TargetMode="External"/><Relationship Id="rId1835" Type="http://schemas.openxmlformats.org/officeDocument/2006/relationships/hyperlink" Target="http://www.plants.usda.gov/java/profile?symbol=SPPO" TargetMode="External"/><Relationship Id="rId2013" Type="http://schemas.openxmlformats.org/officeDocument/2006/relationships/hyperlink" Target="http://www.plants.usda.gov/java/profile?symbol=VIPE" TargetMode="External"/><Relationship Id="rId2220" Type="http://schemas.openxmlformats.org/officeDocument/2006/relationships/hyperlink" Target="http://www.plants.usda.gov/java/profile?symbol=JUCO6" TargetMode="External"/><Relationship Id="rId2458" Type="http://schemas.openxmlformats.org/officeDocument/2006/relationships/hyperlink" Target="http://www.plants.usda.gov/java/profile?symbol=STNI6" TargetMode="External"/><Relationship Id="rId637" Type="http://schemas.openxmlformats.org/officeDocument/2006/relationships/hyperlink" Target="http://www.plants.usda.gov/java/profile?symbol=ASRH2" TargetMode="External"/><Relationship Id="rId844" Type="http://schemas.openxmlformats.org/officeDocument/2006/relationships/hyperlink" Target="http://www.plants.usda.gov/java/profile?symbol=CRRUR" TargetMode="External"/><Relationship Id="rId1267" Type="http://schemas.openxmlformats.org/officeDocument/2006/relationships/hyperlink" Target="http://www.plants.usda.gov/java/profile?symbol=LIPHA" TargetMode="External"/><Relationship Id="rId1474" Type="http://schemas.openxmlformats.org/officeDocument/2006/relationships/hyperlink" Target="http://www.plants.usda.gov/java/profile?symbol=PEGLG" TargetMode="External"/><Relationship Id="rId1681" Type="http://schemas.openxmlformats.org/officeDocument/2006/relationships/hyperlink" Target="http://www.plants.usda.gov/java/profile?symbol=ROSI2" TargetMode="External"/><Relationship Id="rId1902" Type="http://schemas.openxmlformats.org/officeDocument/2006/relationships/hyperlink" Target="http://www.plants.usda.gov/java/profile?symbol=TAOF" TargetMode="External"/><Relationship Id="rId2097" Type="http://schemas.openxmlformats.org/officeDocument/2006/relationships/hyperlink" Target="http://www.plants.usda.gov/java/profile?symbol=ASTR" TargetMode="External"/><Relationship Id="rId2318" Type="http://schemas.openxmlformats.org/officeDocument/2006/relationships/hyperlink" Target="http://www.plants.usda.gov/java/profile?symbol=PTTRT" TargetMode="External"/><Relationship Id="rId2525" Type="http://schemas.openxmlformats.org/officeDocument/2006/relationships/hyperlink" Target="http://www.plants.usda.gov/java/profile?symbol=CUGL3" TargetMode="External"/><Relationship Id="rId276" Type="http://schemas.openxmlformats.org/officeDocument/2006/relationships/hyperlink" Target="http://www.plants.usda.gov/java/profile?symbol=ELHYB" TargetMode="External"/><Relationship Id="rId483" Type="http://schemas.openxmlformats.org/officeDocument/2006/relationships/hyperlink" Target="http://www.plants.usda.gov/java/profile?symbol=ACAM" TargetMode="External"/><Relationship Id="rId690" Type="http://schemas.openxmlformats.org/officeDocument/2006/relationships/hyperlink" Target="http://www.plants.usda.gov/java/profile?symbol=BOMA2" TargetMode="External"/><Relationship Id="rId704" Type="http://schemas.openxmlformats.org/officeDocument/2006/relationships/hyperlink" Target="http://www.plants.usda.gov/java/profile?symbol=CAHEH" TargetMode="External"/><Relationship Id="rId911" Type="http://schemas.openxmlformats.org/officeDocument/2006/relationships/hyperlink" Target="http://www.plants.usda.gov/java/profile?symbol=DECA7" TargetMode="External"/><Relationship Id="rId1127" Type="http://schemas.openxmlformats.org/officeDocument/2006/relationships/hyperlink" Target="http://www.plants.usda.gov/java/profile?symbol=HEOCO" TargetMode="External"/><Relationship Id="rId1334" Type="http://schemas.openxmlformats.org/officeDocument/2006/relationships/hyperlink" Target="http://www.plants.usda.gov/java/profile?symbol=MACAC" TargetMode="External"/><Relationship Id="rId1541" Type="http://schemas.openxmlformats.org/officeDocument/2006/relationships/hyperlink" Target="http://www.plants.usda.gov/java/profile?symbol=PLHO3" TargetMode="External"/><Relationship Id="rId1779" Type="http://schemas.openxmlformats.org/officeDocument/2006/relationships/hyperlink" Target="http://www.plants.usda.gov/java/profile?symbol=SMHE" TargetMode="External"/><Relationship Id="rId1986" Type="http://schemas.openxmlformats.org/officeDocument/2006/relationships/hyperlink" Target="http://www.plants.usda.gov/java/profile?symbol=VEMI2" TargetMode="External"/><Relationship Id="rId2164" Type="http://schemas.openxmlformats.org/officeDocument/2006/relationships/hyperlink" Target="http://www.plants.usda.gov/java/profile?symbol=CRGLS" TargetMode="External"/><Relationship Id="rId2371" Type="http://schemas.openxmlformats.org/officeDocument/2006/relationships/hyperlink" Target="http://www.plants.usda.gov/java/profile?symbol=ROHIH" TargetMode="External"/><Relationship Id="rId40" Type="http://schemas.openxmlformats.org/officeDocument/2006/relationships/hyperlink" Target="http://www.plants.usda.gov/java/profile?symbol=BRNO" TargetMode="External"/><Relationship Id="rId136" Type="http://schemas.openxmlformats.org/officeDocument/2006/relationships/hyperlink" Target="http://www.plants.usda.gov/java/profile?symbol=CAMU4" TargetMode="External"/><Relationship Id="rId343" Type="http://schemas.openxmlformats.org/officeDocument/2006/relationships/hyperlink" Target="http://www.plants.usda.gov/java/profile?symbol=JUNO3" TargetMode="External"/><Relationship Id="rId550" Type="http://schemas.openxmlformats.org/officeDocument/2006/relationships/hyperlink" Target="http://www.plants.usda.gov/java/profile?symbol=AMBRC" TargetMode="External"/><Relationship Id="rId788" Type="http://schemas.openxmlformats.org/officeDocument/2006/relationships/hyperlink" Target="http://www.plants.usda.gov/java/profile?symbol=CIALA" TargetMode="External"/><Relationship Id="rId995" Type="http://schemas.openxmlformats.org/officeDocument/2006/relationships/hyperlink" Target="http://www.plants.usda.gov/java/profile?symbol=ERCAC" TargetMode="External"/><Relationship Id="rId1180" Type="http://schemas.openxmlformats.org/officeDocument/2006/relationships/hyperlink" Target="http://www.plants.usda.gov/java/profile?symbol=HYVI" TargetMode="External"/><Relationship Id="rId1401" Type="http://schemas.openxmlformats.org/officeDocument/2006/relationships/hyperlink" Target="http://www.plants.usda.gov/java/profile?symbol=NAIN2" TargetMode="External"/><Relationship Id="rId1639" Type="http://schemas.openxmlformats.org/officeDocument/2006/relationships/hyperlink" Target="http://www.plants.usda.gov/java/profile?symbol=PRVUV" TargetMode="External"/><Relationship Id="rId1846" Type="http://schemas.openxmlformats.org/officeDocument/2006/relationships/hyperlink" Target="http://www.plants.usda.gov/java/profile?symbol=STLAL3" TargetMode="External"/><Relationship Id="rId2024" Type="http://schemas.openxmlformats.org/officeDocument/2006/relationships/hyperlink" Target="http://www.plants.usda.gov/java/profile?symbol=VIST3" TargetMode="External"/><Relationship Id="rId2231" Type="http://schemas.openxmlformats.org/officeDocument/2006/relationships/hyperlink" Target="http://www.plants.usda.gov/java/profile?symbol=LOCA7" TargetMode="External"/><Relationship Id="rId2469" Type="http://schemas.openxmlformats.org/officeDocument/2006/relationships/hyperlink" Target="http://www.plants.usda.gov/java/profile?symbol=TACA7" TargetMode="External"/><Relationship Id="rId203" Type="http://schemas.openxmlformats.org/officeDocument/2006/relationships/hyperlink" Target="http://www.plants.usda.gov/java/profile?symbol=CYSC3" TargetMode="External"/><Relationship Id="rId648" Type="http://schemas.openxmlformats.org/officeDocument/2006/relationships/hyperlink" Target="http://www.plants.usda.gov/java/profile?symbol=ASLAR" TargetMode="External"/><Relationship Id="rId855" Type="http://schemas.openxmlformats.org/officeDocument/2006/relationships/hyperlink" Target="http://www.plants.usda.gov/java/profile?symbol=CRST2" TargetMode="External"/><Relationship Id="rId1040" Type="http://schemas.openxmlformats.org/officeDocument/2006/relationships/hyperlink" Target="http://www.plants.usda.gov/java/profile?symbol=GAPU" TargetMode="External"/><Relationship Id="rId1278" Type="http://schemas.openxmlformats.org/officeDocument/2006/relationships/hyperlink" Target="http://www.plants.usda.gov/java/profile?symbol=LIRIR" TargetMode="External"/><Relationship Id="rId1485" Type="http://schemas.openxmlformats.org/officeDocument/2006/relationships/hyperlink" Target="http://www.plants.usda.gov/java/profile?symbol=PESE6" TargetMode="External"/><Relationship Id="rId1692" Type="http://schemas.openxmlformats.org/officeDocument/2006/relationships/hyperlink" Target="http://www.plants.usda.gov/java/profile?symbol=RUHU" TargetMode="External"/><Relationship Id="rId1706" Type="http://schemas.openxmlformats.org/officeDocument/2006/relationships/hyperlink" Target="http://www.plants.usda.gov/java/profile?symbol=SACA3" TargetMode="External"/><Relationship Id="rId1913" Type="http://schemas.openxmlformats.org/officeDocument/2006/relationships/hyperlink" Target="http://www.plants.usda.gov/java/profile?symbol=THPAP" TargetMode="External"/><Relationship Id="rId2329" Type="http://schemas.openxmlformats.org/officeDocument/2006/relationships/hyperlink" Target="http://www.plants.usda.gov/java/profile?symbol=QUEX" TargetMode="External"/><Relationship Id="rId2536" Type="http://schemas.openxmlformats.org/officeDocument/2006/relationships/hyperlink" Target="http://www.plants.usda.gov/java/profile?symbol=ECLO" TargetMode="External"/><Relationship Id="rId287" Type="http://schemas.openxmlformats.org/officeDocument/2006/relationships/hyperlink" Target="http://www.plants.usda.gov/java/profile?symbol=ELWI" TargetMode="External"/><Relationship Id="rId410" Type="http://schemas.openxmlformats.org/officeDocument/2006/relationships/hyperlink" Target="http://www.plants.usda.gov/java/profile?symbol=POWO" TargetMode="External"/><Relationship Id="rId494" Type="http://schemas.openxmlformats.org/officeDocument/2006/relationships/hyperlink" Target="http://www.plants.usda.gov/java/profile?symbol=AGAU3" TargetMode="External"/><Relationship Id="rId508" Type="http://schemas.openxmlformats.org/officeDocument/2006/relationships/hyperlink" Target="http://www.plants.usda.gov/java/profile?symbol=AGALA" TargetMode="External"/><Relationship Id="rId715" Type="http://schemas.openxmlformats.org/officeDocument/2006/relationships/hyperlink" Target="http://www.plants.usda.gov/java/profile?symbol=CASI10" TargetMode="External"/><Relationship Id="rId922" Type="http://schemas.openxmlformats.org/officeDocument/2006/relationships/hyperlink" Target="http://www.plants.usda.gov/java/profile?symbol=DEPE80" TargetMode="External"/><Relationship Id="rId1138" Type="http://schemas.openxmlformats.org/officeDocument/2006/relationships/hyperlink" Target="http://www.plants.usda.gov/java/profile?symbol=HETE3" TargetMode="External"/><Relationship Id="rId1345" Type="http://schemas.openxmlformats.org/officeDocument/2006/relationships/hyperlink" Target="http://www.plants.usda.gov/java/profile?symbol=MAST4" TargetMode="External"/><Relationship Id="rId1552" Type="http://schemas.openxmlformats.org/officeDocument/2006/relationships/hyperlink" Target="http://www.plants.usda.gov/java/profile?symbol=PORE2" TargetMode="External"/><Relationship Id="rId1997" Type="http://schemas.openxmlformats.org/officeDocument/2006/relationships/hyperlink" Target="http://www.plants.usda.gov/java/profile?symbol=VIAMM3" TargetMode="External"/><Relationship Id="rId2175" Type="http://schemas.openxmlformats.org/officeDocument/2006/relationships/hyperlink" Target="http://www.plants.usda.gov/java/profile?symbol=DEVE" TargetMode="External"/><Relationship Id="rId2382" Type="http://schemas.openxmlformats.org/officeDocument/2006/relationships/hyperlink" Target="http://www.plants.usda.gov/java/profile?symbol=ROPA" TargetMode="External"/><Relationship Id="rId147" Type="http://schemas.openxmlformats.org/officeDocument/2006/relationships/hyperlink" Target="http://www.plants.usda.gov/java/profile?symbol=CAPE6" TargetMode="External"/><Relationship Id="rId354" Type="http://schemas.openxmlformats.org/officeDocument/2006/relationships/hyperlink" Target="http://www.plants.usda.gov/java/profile?symbol=LEFUF" TargetMode="External"/><Relationship Id="rId799" Type="http://schemas.openxmlformats.org/officeDocument/2006/relationships/hyperlink" Target="http://www.plants.usda.gov/java/profile?symbol=CIUN" TargetMode="External"/><Relationship Id="rId1191" Type="http://schemas.openxmlformats.org/officeDocument/2006/relationships/hyperlink" Target="http://www.plants.usda.gov/java/profile?symbol=HYSP2" TargetMode="External"/><Relationship Id="rId1205" Type="http://schemas.openxmlformats.org/officeDocument/2006/relationships/hyperlink" Target="http://www.plants.usda.gov/java/profile?symbol=IVANA" TargetMode="External"/><Relationship Id="rId1857" Type="http://schemas.openxmlformats.org/officeDocument/2006/relationships/hyperlink" Target="http://www.plants.usda.gov/java/profile?symbol=SYCI2" TargetMode="External"/><Relationship Id="rId2035" Type="http://schemas.openxmlformats.org/officeDocument/2006/relationships/hyperlink" Target="http://www.plants.usda.gov/java/profile?symbol=XAST" TargetMode="External"/><Relationship Id="rId51" Type="http://schemas.openxmlformats.org/officeDocument/2006/relationships/hyperlink" Target="http://www.plants.usda.gov/java/profile?symbol=CALOM" TargetMode="External"/><Relationship Id="rId561" Type="http://schemas.openxmlformats.org/officeDocument/2006/relationships/hyperlink" Target="http://www.plants.usda.gov/java/profile?symbol=ANVIV2" TargetMode="External"/><Relationship Id="rId659" Type="http://schemas.openxmlformats.org/officeDocument/2006/relationships/hyperlink" Target="http://www.plants.usda.gov/java/profile?symbol=AZME" TargetMode="External"/><Relationship Id="rId866" Type="http://schemas.openxmlformats.org/officeDocument/2006/relationships/hyperlink" Target="http://www.plants.usda.gov/java/profile?symbol=CUGRG" TargetMode="External"/><Relationship Id="rId1289" Type="http://schemas.openxmlformats.org/officeDocument/2006/relationships/hyperlink" Target="http://www.plants.usda.gov/java/profile?symbol=LOCA2" TargetMode="External"/><Relationship Id="rId1412" Type="http://schemas.openxmlformats.org/officeDocument/2006/relationships/hyperlink" Target="http://www.plants.usda.gov/java/profile?symbol=OEBI" TargetMode="External"/><Relationship Id="rId1496" Type="http://schemas.openxmlformats.org/officeDocument/2006/relationships/hyperlink" Target="http://www.plants.usda.gov/java/profile?symbol=PHMAM" TargetMode="External"/><Relationship Id="rId1717" Type="http://schemas.openxmlformats.org/officeDocument/2006/relationships/hyperlink" Target="http://www.plants.usda.gov/java/profile?symbol=SARI" TargetMode="External"/><Relationship Id="rId1924" Type="http://schemas.openxmlformats.org/officeDocument/2006/relationships/hyperlink" Target="http://www.plants.usda.gov/java/profile?symbol=TRVI" TargetMode="External"/><Relationship Id="rId2242" Type="http://schemas.openxmlformats.org/officeDocument/2006/relationships/hyperlink" Target="http://www.plants.usda.gov/java/profile?symbol=MAPIP4" TargetMode="External"/><Relationship Id="rId2547" Type="http://schemas.openxmlformats.org/officeDocument/2006/relationships/hyperlink" Target="http://www.plants.usda.gov/java/profile?symbol=IPPA" TargetMode="External"/><Relationship Id="rId214" Type="http://schemas.openxmlformats.org/officeDocument/2006/relationships/hyperlink" Target="http://www.plants.usda.gov/java/profile?symbol=DICO4" TargetMode="External"/><Relationship Id="rId298" Type="http://schemas.openxmlformats.org/officeDocument/2006/relationships/hyperlink" Target="http://www.plants.usda.gov/java/profile?symbol=ERAN6" TargetMode="External"/><Relationship Id="rId421" Type="http://schemas.openxmlformats.org/officeDocument/2006/relationships/hyperlink" Target="http://www.plants.usda.gov/java/profile?symbol=SCHE5" TargetMode="External"/><Relationship Id="rId519" Type="http://schemas.openxmlformats.org/officeDocument/2006/relationships/hyperlink" Target="http://www.plants.usda.gov/java/profile?symbol=ALCA3" TargetMode="External"/><Relationship Id="rId1051" Type="http://schemas.openxmlformats.org/officeDocument/2006/relationships/hyperlink" Target="http://www.plants.usda.gov/java/profile?symbol=GAOBO" TargetMode="External"/><Relationship Id="rId1149" Type="http://schemas.openxmlformats.org/officeDocument/2006/relationships/hyperlink" Target="http://www.plants.usda.gov/java/profile?symbol=HESTS" TargetMode="External"/><Relationship Id="rId1356" Type="http://schemas.openxmlformats.org/officeDocument/2006/relationships/hyperlink" Target="http://www.plants.usda.gov/java/profile?symbol=MEPAP" TargetMode="External"/><Relationship Id="rId2102" Type="http://schemas.openxmlformats.org/officeDocument/2006/relationships/hyperlink" Target="http://www.plants.usda.gov/java/profile?symbol=BENI" TargetMode="External"/><Relationship Id="rId158" Type="http://schemas.openxmlformats.org/officeDocument/2006/relationships/hyperlink" Target="http://www.plants.usda.gov/java/profile?symbol=CASA9" TargetMode="External"/><Relationship Id="rId726" Type="http://schemas.openxmlformats.org/officeDocument/2006/relationships/hyperlink" Target="http://www.plants.usda.gov/java/profile?symbol=CACO26" TargetMode="External"/><Relationship Id="rId933" Type="http://schemas.openxmlformats.org/officeDocument/2006/relationships/hyperlink" Target="http://www.plants.usda.gov/java/profile?symbol=DOME" TargetMode="External"/><Relationship Id="rId1009" Type="http://schemas.openxmlformats.org/officeDocument/2006/relationships/hyperlink" Target="http://www.plants.usda.gov/java/profile?symbol=EUPUH" TargetMode="External"/><Relationship Id="rId1563" Type="http://schemas.openxmlformats.org/officeDocument/2006/relationships/hyperlink" Target="http://www.plants.usda.gov/java/profile?symbol=POBIC" TargetMode="External"/><Relationship Id="rId1770" Type="http://schemas.openxmlformats.org/officeDocument/2006/relationships/hyperlink" Target="http://www.plants.usda.gov/java/profile?symbol=SIPEP" TargetMode="External"/><Relationship Id="rId1868" Type="http://schemas.openxmlformats.org/officeDocument/2006/relationships/hyperlink" Target="http://www.plants.usda.gov/java/profile?symbol=SYLA3" TargetMode="External"/><Relationship Id="rId2186" Type="http://schemas.openxmlformats.org/officeDocument/2006/relationships/hyperlink" Target="http://www.plants.usda.gov/java/profile?symbol=EUMA12" TargetMode="External"/><Relationship Id="rId2393" Type="http://schemas.openxmlformats.org/officeDocument/2006/relationships/hyperlink" Target="http://www.plants.usda.gov/java/profile?symbol=RUFE" TargetMode="External"/><Relationship Id="rId2407" Type="http://schemas.openxmlformats.org/officeDocument/2006/relationships/hyperlink" Target="http://www.plants.usda.gov/java/profile?symbol=RUPE6" TargetMode="External"/><Relationship Id="rId62" Type="http://schemas.openxmlformats.org/officeDocument/2006/relationships/hyperlink" Target="http://www.plants.usda.gov/java/profile?symbol=CAAU6" TargetMode="External"/><Relationship Id="rId365" Type="http://schemas.openxmlformats.org/officeDocument/2006/relationships/hyperlink" Target="http://www.plants.usda.gov/java/profile?symbol=MEMU" TargetMode="External"/><Relationship Id="rId572" Type="http://schemas.openxmlformats.org/officeDocument/2006/relationships/hyperlink" Target="http://www.plants.usda.gov/java/profile?symbol=APHY" TargetMode="External"/><Relationship Id="rId1216" Type="http://schemas.openxmlformats.org/officeDocument/2006/relationships/hyperlink" Target="http://www.plants.usda.gov/java/profile?symbol=LAFLV" TargetMode="External"/><Relationship Id="rId1423" Type="http://schemas.openxmlformats.org/officeDocument/2006/relationships/hyperlink" Target="http://www.plants.usda.gov/java/profile?symbol=OLAL2" TargetMode="External"/><Relationship Id="rId1630" Type="http://schemas.openxmlformats.org/officeDocument/2006/relationships/hyperlink" Target="http://www.plants.usda.gov/java/profile?symbol=PRRAM2" TargetMode="External"/><Relationship Id="rId2046" Type="http://schemas.openxmlformats.org/officeDocument/2006/relationships/hyperlink" Target="http://www.plants.usda.gov/java/profile?symbol=ZIAU" TargetMode="External"/><Relationship Id="rId2253" Type="http://schemas.openxmlformats.org/officeDocument/2006/relationships/hyperlink" Target="http://www.plants.usda.gov/java/profile?symbol=MOPU" TargetMode="External"/><Relationship Id="rId2460" Type="http://schemas.openxmlformats.org/officeDocument/2006/relationships/hyperlink" Target="http://www.plants.usda.gov/java/profile?symbol=SYAL" TargetMode="External"/><Relationship Id="rId225" Type="http://schemas.openxmlformats.org/officeDocument/2006/relationships/hyperlink" Target="http://www.plants.usda.gov/java/profile?symbol=DIOV" TargetMode="External"/><Relationship Id="rId432" Type="http://schemas.openxmlformats.org/officeDocument/2006/relationships/hyperlink" Target="http://www.plants.usda.gov/java/profile?symbol=SCCY" TargetMode="External"/><Relationship Id="rId877" Type="http://schemas.openxmlformats.org/officeDocument/2006/relationships/hyperlink" Target="http://www.plants.usda.gov/java/profile?symbol=CYAN2" TargetMode="External"/><Relationship Id="rId1062" Type="http://schemas.openxmlformats.org/officeDocument/2006/relationships/hyperlink" Target="http://www.plants.usda.gov/java/profile?symbol=GEAN" TargetMode="External"/><Relationship Id="rId1728" Type="http://schemas.openxmlformats.org/officeDocument/2006/relationships/hyperlink" Target="http://www.plants.usda.gov/java/profile?symbol=SAOD" TargetMode="External"/><Relationship Id="rId1935" Type="http://schemas.openxmlformats.org/officeDocument/2006/relationships/hyperlink" Target="http://www.plants.usda.gov/java/profile?symbol=TRAU4" TargetMode="External"/><Relationship Id="rId2113" Type="http://schemas.openxmlformats.org/officeDocument/2006/relationships/hyperlink" Target="http://www.plants.usda.gov/java/profile?symbol=CACAV" TargetMode="External"/><Relationship Id="rId2320" Type="http://schemas.openxmlformats.org/officeDocument/2006/relationships/hyperlink" Target="http://www.plants.usda.gov/java/profile?symbol=PYAS" TargetMode="External"/><Relationship Id="rId2558" Type="http://schemas.openxmlformats.org/officeDocument/2006/relationships/hyperlink" Target="http://www.plants.usda.gov/java/profile?symbol=PHPOP" TargetMode="External"/><Relationship Id="rId737" Type="http://schemas.openxmlformats.org/officeDocument/2006/relationships/hyperlink" Target="http://www.plants.usda.gov/java/profile?symbol=CEARV2" TargetMode="External"/><Relationship Id="rId944" Type="http://schemas.openxmlformats.org/officeDocument/2006/relationships/hyperlink" Target="http://www.plants.usda.gov/java/profile?symbol=DRBO2" TargetMode="External"/><Relationship Id="rId1367" Type="http://schemas.openxmlformats.org/officeDocument/2006/relationships/hyperlink" Target="http://www.plants.usda.gov/java/profile?symbol=MIHI" TargetMode="External"/><Relationship Id="rId1574" Type="http://schemas.openxmlformats.org/officeDocument/2006/relationships/hyperlink" Target="http://www.plants.usda.gov/java/profile?symbol=POER2" TargetMode="External"/><Relationship Id="rId1781" Type="http://schemas.openxmlformats.org/officeDocument/2006/relationships/hyperlink" Target="http://www.plants.usda.gov/java/profile?symbol=SMLA3" TargetMode="External"/><Relationship Id="rId2197" Type="http://schemas.openxmlformats.org/officeDocument/2006/relationships/hyperlink" Target="http://www.plants.usda.gov/java/profile?symbol=GACI2" TargetMode="External"/><Relationship Id="rId2418" Type="http://schemas.openxmlformats.org/officeDocument/2006/relationships/hyperlink" Target="http://www.plants.usda.gov/java/profile?symbol=RUWI" TargetMode="External"/><Relationship Id="rId73" Type="http://schemas.openxmlformats.org/officeDocument/2006/relationships/hyperlink" Target="http://www.plants.usda.gov/java/profile?symbol=CACH5" TargetMode="External"/><Relationship Id="rId169" Type="http://schemas.openxmlformats.org/officeDocument/2006/relationships/hyperlink" Target="http://www.plants.usda.gov/java/profile?symbol=CAST8" TargetMode="External"/><Relationship Id="rId376" Type="http://schemas.openxmlformats.org/officeDocument/2006/relationships/hyperlink" Target="http://www.plants.usda.gov/java/profile?symbol=MUME2" TargetMode="External"/><Relationship Id="rId583" Type="http://schemas.openxmlformats.org/officeDocument/2006/relationships/hyperlink" Target="http://www.plants.usda.gov/java/profile?symbol=ARLA" TargetMode="External"/><Relationship Id="rId790" Type="http://schemas.openxmlformats.org/officeDocument/2006/relationships/hyperlink" Target="http://www.plants.usda.gov/java/profile?symbol=CILU" TargetMode="External"/><Relationship Id="rId804" Type="http://schemas.openxmlformats.org/officeDocument/2006/relationships/hyperlink" Target="http://www.plants.usda.gov/java/profile?symbol=CLSE" TargetMode="External"/><Relationship Id="rId1227" Type="http://schemas.openxmlformats.org/officeDocument/2006/relationships/hyperlink" Target="http://www.plants.usda.gov/java/profile?symbol=LEIN" TargetMode="External"/><Relationship Id="rId1434" Type="http://schemas.openxmlformats.org/officeDocument/2006/relationships/hyperlink" Target="http://www.plants.usda.gov/java/profile?symbol=ORFA" TargetMode="External"/><Relationship Id="rId1641" Type="http://schemas.openxmlformats.org/officeDocument/2006/relationships/hyperlink" Target="http://www.plants.usda.gov/java/profile?symbol=PSOBO" TargetMode="External"/><Relationship Id="rId1879" Type="http://schemas.openxmlformats.org/officeDocument/2006/relationships/hyperlink" Target="http://www.plants.usda.gov/java/profile?symbol=SYLAL7" TargetMode="External"/><Relationship Id="rId2057" Type="http://schemas.openxmlformats.org/officeDocument/2006/relationships/hyperlink" Target="http://www.plants.usda.gov/java/profile?symbol=ACSA2" TargetMode="External"/><Relationship Id="rId2264" Type="http://schemas.openxmlformats.org/officeDocument/2006/relationships/hyperlink" Target="http://www.plants.usda.gov/java/profile?symbol=OSVI" TargetMode="External"/><Relationship Id="rId2471" Type="http://schemas.openxmlformats.org/officeDocument/2006/relationships/hyperlink" Target="http://www.plants.usda.gov/java/profile?symbol=THOC2" TargetMode="External"/><Relationship Id="rId4" Type="http://schemas.openxmlformats.org/officeDocument/2006/relationships/hyperlink" Target="http://www.plants.usda.gov/java/profile?symbol=AGPE" TargetMode="External"/><Relationship Id="rId236" Type="http://schemas.openxmlformats.org/officeDocument/2006/relationships/hyperlink" Target="http://www.plants.usda.gov/java/profile?symbol=DIXA" TargetMode="External"/><Relationship Id="rId443" Type="http://schemas.openxmlformats.org/officeDocument/2006/relationships/hyperlink" Target="http://www.plants.usda.gov/java/profile?symbol=SPPE" TargetMode="External"/><Relationship Id="rId650" Type="http://schemas.openxmlformats.org/officeDocument/2006/relationships/hyperlink" Target="http://www.plants.usda.gov/java/profile?symbol=ASMI10" TargetMode="External"/><Relationship Id="rId888" Type="http://schemas.openxmlformats.org/officeDocument/2006/relationships/hyperlink" Target="http://www.plants.usda.gov/java/profile?symbol=CYPR4" TargetMode="External"/><Relationship Id="rId1073" Type="http://schemas.openxmlformats.org/officeDocument/2006/relationships/hyperlink" Target="http://www.plants.usda.gov/java/profile?symbol=GEVIV3" TargetMode="External"/><Relationship Id="rId1280" Type="http://schemas.openxmlformats.org/officeDocument/2006/relationships/hyperlink" Target="http://www.plants.usda.gov/java/profile?symbol=LISUS" TargetMode="External"/><Relationship Id="rId1501" Type="http://schemas.openxmlformats.org/officeDocument/2006/relationships/hyperlink" Target="http://www.plants.usda.gov/java/profile?symbol=PHSU3" TargetMode="External"/><Relationship Id="rId1739" Type="http://schemas.openxmlformats.org/officeDocument/2006/relationships/hyperlink" Target="http://www.plants.usda.gov/java/profile?symbol=SCLAL2" TargetMode="External"/><Relationship Id="rId1946" Type="http://schemas.openxmlformats.org/officeDocument/2006/relationships/hyperlink" Target="http://www.plants.usda.gov/java/profile?symbol=UTGI" TargetMode="External"/><Relationship Id="rId2124" Type="http://schemas.openxmlformats.org/officeDocument/2006/relationships/hyperlink" Target="http://www.plants.usda.gov/java/profile?symbol=CABI8" TargetMode="External"/><Relationship Id="rId2331" Type="http://schemas.openxmlformats.org/officeDocument/2006/relationships/hyperlink" Target="http://www.plants.usda.gov/java/profile?symbol=QUHA4" TargetMode="External"/><Relationship Id="rId2569" Type="http://schemas.openxmlformats.org/officeDocument/2006/relationships/hyperlink" Target="http://www.plants.usda.gov/java/profile?symbol=SMLA3" TargetMode="External"/><Relationship Id="rId303" Type="http://schemas.openxmlformats.org/officeDocument/2006/relationships/hyperlink" Target="http://www.plants.usda.gov/java/profile?symbol=ERVI9" TargetMode="External"/><Relationship Id="rId748" Type="http://schemas.openxmlformats.org/officeDocument/2006/relationships/hyperlink" Target="http://www.plants.usda.gov/java/profile?symbol=CHGEG" TargetMode="External"/><Relationship Id="rId955" Type="http://schemas.openxmlformats.org/officeDocument/2006/relationships/hyperlink" Target="http://www.plants.usda.gov/java/profile?symbol=ECPA" TargetMode="External"/><Relationship Id="rId1140" Type="http://schemas.openxmlformats.org/officeDocument/2006/relationships/hyperlink" Target="http://www.plants.usda.gov/java/profile?symbol=HENOA" TargetMode="External"/><Relationship Id="rId1378" Type="http://schemas.openxmlformats.org/officeDocument/2006/relationships/hyperlink" Target="http://www.plants.usda.gov/java/profile?symbol=MOFIF2" TargetMode="External"/><Relationship Id="rId1585" Type="http://schemas.openxmlformats.org/officeDocument/2006/relationships/hyperlink" Target="http://www.plants.usda.gov/java/profile?symbol=POSCC" TargetMode="External"/><Relationship Id="rId1792" Type="http://schemas.openxmlformats.org/officeDocument/2006/relationships/hyperlink" Target="http://www.plants.usda.gov/java/profile?symbol=SOCA6" TargetMode="External"/><Relationship Id="rId1806" Type="http://schemas.openxmlformats.org/officeDocument/2006/relationships/hyperlink" Target="http://www.plants.usda.gov/java/profile?symbol=SONEN" TargetMode="External"/><Relationship Id="rId2429" Type="http://schemas.openxmlformats.org/officeDocument/2006/relationships/hyperlink" Target="http://www.plants.usda.gov/java/profile?symbol=SAHUT" TargetMode="External"/><Relationship Id="rId84" Type="http://schemas.openxmlformats.org/officeDocument/2006/relationships/hyperlink" Target="http://www.plants.usda.gov/java/profile?symbol=CACR8" TargetMode="External"/><Relationship Id="rId387" Type="http://schemas.openxmlformats.org/officeDocument/2006/relationships/hyperlink" Target="http://www.plants.usda.gov/java/profile?symbol=PADI" TargetMode="External"/><Relationship Id="rId510" Type="http://schemas.openxmlformats.org/officeDocument/2006/relationships/hyperlink" Target="http://www.plants.usda.gov/java/profile?symbol=AGGLG" TargetMode="External"/><Relationship Id="rId594" Type="http://schemas.openxmlformats.org/officeDocument/2006/relationships/hyperlink" Target="http://www.plants.usda.gov/java/profile?symbol=ARPO2" TargetMode="External"/><Relationship Id="rId608" Type="http://schemas.openxmlformats.org/officeDocument/2006/relationships/hyperlink" Target="http://www.plants.usda.gov/java/profile?symbol=ARLU" TargetMode="External"/><Relationship Id="rId815" Type="http://schemas.openxmlformats.org/officeDocument/2006/relationships/hyperlink" Target="http://www.plants.usda.gov/java/profile?symbol=COCH2" TargetMode="External"/><Relationship Id="rId1238" Type="http://schemas.openxmlformats.org/officeDocument/2006/relationships/hyperlink" Target="http://www.plants.usda.gov/java/profile?symbol=LETU2" TargetMode="External"/><Relationship Id="rId1445" Type="http://schemas.openxmlformats.org/officeDocument/2006/relationships/hyperlink" Target="http://www.plants.usda.gov/java/profile?symbol=OXAL" TargetMode="External"/><Relationship Id="rId1652" Type="http://schemas.openxmlformats.org/officeDocument/2006/relationships/hyperlink" Target="http://www.plants.usda.gov/java/profile?symbol=PYCA2" TargetMode="External"/><Relationship Id="rId2068" Type="http://schemas.openxmlformats.org/officeDocument/2006/relationships/hyperlink" Target="http://www.plants.usda.gov/java/profile?symbol=AGGL" TargetMode="External"/><Relationship Id="rId2275" Type="http://schemas.openxmlformats.org/officeDocument/2006/relationships/hyperlink" Target="http://www.plants.usda.gov/java/profile?symbol=PHDI5" TargetMode="External"/><Relationship Id="rId247" Type="http://schemas.openxmlformats.org/officeDocument/2006/relationships/hyperlink" Target="http://www.plants.usda.gov/java/profile?symbol=ECMUM2" TargetMode="External"/><Relationship Id="rId899" Type="http://schemas.openxmlformats.org/officeDocument/2006/relationships/hyperlink" Target="http://www.plants.usda.gov/java/profile?symbol=DAVI" TargetMode="External"/><Relationship Id="rId1000" Type="http://schemas.openxmlformats.org/officeDocument/2006/relationships/hyperlink" Target="http://www.plants.usda.gov/java/profile?symbol=ERAMA2" TargetMode="External"/><Relationship Id="rId1084" Type="http://schemas.openxmlformats.org/officeDocument/2006/relationships/hyperlink" Target="http://www.plants.usda.gov/java/profile?symbol=GETRT" TargetMode="External"/><Relationship Id="rId1305" Type="http://schemas.openxmlformats.org/officeDocument/2006/relationships/hyperlink" Target="http://www.plants.usda.gov/java/profile?symbol=LOUNU" TargetMode="External"/><Relationship Id="rId1957" Type="http://schemas.openxmlformats.org/officeDocument/2006/relationships/hyperlink" Target="http://www.plants.usda.gov/java/profile?symbol=VEBL2" TargetMode="External"/><Relationship Id="rId2482" Type="http://schemas.openxmlformats.org/officeDocument/2006/relationships/hyperlink" Target="http://www.plants.usda.gov/java/profile?symbol=VAMY" TargetMode="External"/><Relationship Id="rId107" Type="http://schemas.openxmlformats.org/officeDocument/2006/relationships/hyperlink" Target="http://www.plants.usda.gov/java/profile?symbol=CAHI6" TargetMode="External"/><Relationship Id="rId454" Type="http://schemas.openxmlformats.org/officeDocument/2006/relationships/hyperlink" Target="http://www.plants.usda.gov/java/profile?symbol=SPVAV2" TargetMode="External"/><Relationship Id="rId661" Type="http://schemas.openxmlformats.org/officeDocument/2006/relationships/hyperlink" Target="http://www.plants.usda.gov/java/profile?symbol=BAAL" TargetMode="External"/><Relationship Id="rId759" Type="http://schemas.openxmlformats.org/officeDocument/2006/relationships/hyperlink" Target="http://www.plants.usda.gov/java/profile?symbol=CHANC" TargetMode="External"/><Relationship Id="rId966" Type="http://schemas.openxmlformats.org/officeDocument/2006/relationships/hyperlink" Target="http://www.plants.usda.gov/java/profile?symbol=EPCI" TargetMode="External"/><Relationship Id="rId1291" Type="http://schemas.openxmlformats.org/officeDocument/2006/relationships/hyperlink" Target="http://www.plants.usda.gov/java/profile?symbol=LOKA" TargetMode="External"/><Relationship Id="rId1389" Type="http://schemas.openxmlformats.org/officeDocument/2006/relationships/hyperlink" Target="http://www.plants.usda.gov/java/profile?symbol=MYMI2" TargetMode="External"/><Relationship Id="rId1512" Type="http://schemas.openxmlformats.org/officeDocument/2006/relationships/hyperlink" Target="http://www.plants.usda.gov/java/profile?symbol=PHPU7" TargetMode="External"/><Relationship Id="rId1596" Type="http://schemas.openxmlformats.org/officeDocument/2006/relationships/hyperlink" Target="http://www.plants.usda.gov/java/profile?symbol=POAM5" TargetMode="External"/><Relationship Id="rId1817" Type="http://schemas.openxmlformats.org/officeDocument/2006/relationships/hyperlink" Target="http://www.plants.usda.gov/java/profile?symbol=SPAM" TargetMode="External"/><Relationship Id="rId2135" Type="http://schemas.openxmlformats.org/officeDocument/2006/relationships/hyperlink" Target="http://www.plants.usda.gov/java/profile?symbol=CLKE" TargetMode="External"/><Relationship Id="rId2342" Type="http://schemas.openxmlformats.org/officeDocument/2006/relationships/hyperlink" Target="http://www.plants.usda.gov/java/profile?symbol=QURU" TargetMode="External"/><Relationship Id="rId11" Type="http://schemas.openxmlformats.org/officeDocument/2006/relationships/hyperlink" Target="http://www.plants.usda.gov/java/profile?symbol=ANVI2" TargetMode="External"/><Relationship Id="rId314" Type="http://schemas.openxmlformats.org/officeDocument/2006/relationships/hyperlink" Target="http://www.plants.usda.gov/java/profile?symbol=GLGR" TargetMode="External"/><Relationship Id="rId398" Type="http://schemas.openxmlformats.org/officeDocument/2006/relationships/hyperlink" Target="http://www.plants.usda.gov/java/profile?symbol=PHAU7" TargetMode="External"/><Relationship Id="rId521" Type="http://schemas.openxmlformats.org/officeDocument/2006/relationships/hyperlink" Target="http://www.plants.usda.gov/java/profile?symbol=ALCAL" TargetMode="External"/><Relationship Id="rId619" Type="http://schemas.openxmlformats.org/officeDocument/2006/relationships/hyperlink" Target="http://www.plants.usda.gov/java/profile?symbol=ASIN" TargetMode="External"/><Relationship Id="rId1151" Type="http://schemas.openxmlformats.org/officeDocument/2006/relationships/hyperlink" Target="http://www.plants.usda.gov/java/profile?symbol=HEVI4" TargetMode="External"/><Relationship Id="rId1249" Type="http://schemas.openxmlformats.org/officeDocument/2006/relationships/hyperlink" Target="http://www.plants.usda.gov/java/profile?symbol=LEVI7" TargetMode="External"/><Relationship Id="rId2079" Type="http://schemas.openxmlformats.org/officeDocument/2006/relationships/hyperlink" Target="http://www.plants.usda.gov/java/profile?symbol=AMLA" TargetMode="External"/><Relationship Id="rId2202" Type="http://schemas.openxmlformats.org/officeDocument/2006/relationships/hyperlink" Target="http://www.plants.usda.gov/java/profile?symbol=HAVI4" TargetMode="External"/><Relationship Id="rId95" Type="http://schemas.openxmlformats.org/officeDocument/2006/relationships/hyperlink" Target="http://www.plants.usda.gov/java/profile?symbol=CAFE3" TargetMode="External"/><Relationship Id="rId160" Type="http://schemas.openxmlformats.org/officeDocument/2006/relationships/hyperlink" Target="http://www.plants.usda.gov/java/profile?symbol=CASCS" TargetMode="External"/><Relationship Id="rId826" Type="http://schemas.openxmlformats.org/officeDocument/2006/relationships/hyperlink" Target="http://www.plants.usda.gov/java/profile?symbol=COGRH" TargetMode="External"/><Relationship Id="rId1011" Type="http://schemas.openxmlformats.org/officeDocument/2006/relationships/hyperlink" Target="http://www.plants.usda.gov/java/profile?symbol=EUSE2" TargetMode="External"/><Relationship Id="rId1109" Type="http://schemas.openxmlformats.org/officeDocument/2006/relationships/hyperlink" Target="http://www.plants.usda.gov/java/profile?symbol=HEAU" TargetMode="External"/><Relationship Id="rId1456" Type="http://schemas.openxmlformats.org/officeDocument/2006/relationships/hyperlink" Target="http://www.plants.usda.gov/java/profile?symbol=PAPL12" TargetMode="External"/><Relationship Id="rId1663" Type="http://schemas.openxmlformats.org/officeDocument/2006/relationships/hyperlink" Target="http://www.plants.usda.gov/java/profile?symbol=RALO2" TargetMode="External"/><Relationship Id="rId1870" Type="http://schemas.openxmlformats.org/officeDocument/2006/relationships/hyperlink" Target="http://www.plants.usda.gov/java/profile?symbol=SYLA6" TargetMode="External"/><Relationship Id="rId1968" Type="http://schemas.openxmlformats.org/officeDocument/2006/relationships/hyperlink" Target="http://www.plants.usda.gov/java/profile?symbol=VESI" TargetMode="External"/><Relationship Id="rId2286" Type="http://schemas.openxmlformats.org/officeDocument/2006/relationships/hyperlink" Target="http://www.plants.usda.gov/java/profile?symbol=PHOPO" TargetMode="External"/><Relationship Id="rId2493" Type="http://schemas.openxmlformats.org/officeDocument/2006/relationships/hyperlink" Target="http://www.plants.usda.gov/java/profile?symbol=ZAAM" TargetMode="External"/><Relationship Id="rId2507" Type="http://schemas.openxmlformats.org/officeDocument/2006/relationships/hyperlink" Target="http://www.plants.usda.gov/java/profile?symbol=CASIF" TargetMode="External"/><Relationship Id="rId258" Type="http://schemas.openxmlformats.org/officeDocument/2006/relationships/hyperlink" Target="http://www.plants.usda.gov/java/profile?symbol=ELMA5" TargetMode="External"/><Relationship Id="rId465" Type="http://schemas.openxmlformats.org/officeDocument/2006/relationships/hyperlink" Target="http://www.plants.usda.gov/java/profile?symbol=VUOCO" TargetMode="External"/><Relationship Id="rId672" Type="http://schemas.openxmlformats.org/officeDocument/2006/relationships/hyperlink" Target="http://www.plants.usda.gov/java/profile?symbol=BIBI7" TargetMode="External"/><Relationship Id="rId1095" Type="http://schemas.openxmlformats.org/officeDocument/2006/relationships/hyperlink" Target="http://www.plants.usda.gov/java/profile?symbol=GYBR2" TargetMode="External"/><Relationship Id="rId1316" Type="http://schemas.openxmlformats.org/officeDocument/2006/relationships/hyperlink" Target="http://www.plants.usda.gov/java/profile?symbol=LYDE" TargetMode="External"/><Relationship Id="rId1523" Type="http://schemas.openxmlformats.org/officeDocument/2006/relationships/hyperlink" Target="http://www.plants.usda.gov/java/profile?symbol=PHAMA3" TargetMode="External"/><Relationship Id="rId1730" Type="http://schemas.openxmlformats.org/officeDocument/2006/relationships/hyperlink" Target="http://www.plants.usda.gov/java/profile?symbol=SAPE8" TargetMode="External"/><Relationship Id="rId2146" Type="http://schemas.openxmlformats.org/officeDocument/2006/relationships/hyperlink" Target="http://www.plants.usda.gov/java/profile?symbol=COSE16" TargetMode="External"/><Relationship Id="rId2353" Type="http://schemas.openxmlformats.org/officeDocument/2006/relationships/hyperlink" Target="http://www.plants.usda.gov/java/profile?symbol=RHARA2" TargetMode="External"/><Relationship Id="rId2560" Type="http://schemas.openxmlformats.org/officeDocument/2006/relationships/hyperlink" Target="http://www.plants.usda.gov/java/profile?symbol=POSC3" TargetMode="External"/><Relationship Id="rId22" Type="http://schemas.openxmlformats.org/officeDocument/2006/relationships/hyperlink" Target="http://www.plants.usda.gov/java/profile?symbol=ARPUL" TargetMode="External"/><Relationship Id="rId118" Type="http://schemas.openxmlformats.org/officeDocument/2006/relationships/hyperlink" Target="http://www.plants.usda.gov/java/profile?symbol=CALA12" TargetMode="External"/><Relationship Id="rId325" Type="http://schemas.openxmlformats.org/officeDocument/2006/relationships/hyperlink" Target="http://www.plants.usda.gov/java/profile?symbol=HOPU" TargetMode="External"/><Relationship Id="rId532" Type="http://schemas.openxmlformats.org/officeDocument/2006/relationships/hyperlink" Target="http://www.plants.usda.gov/java/profile?symbol=AMPO2" TargetMode="External"/><Relationship Id="rId977" Type="http://schemas.openxmlformats.org/officeDocument/2006/relationships/hyperlink" Target="http://www.plants.usda.gov/java/profile?symbol=EQLA" TargetMode="External"/><Relationship Id="rId1162" Type="http://schemas.openxmlformats.org/officeDocument/2006/relationships/hyperlink" Target="http://www.plants.usda.gov/java/profile?symbol=HISC" TargetMode="External"/><Relationship Id="rId1828" Type="http://schemas.openxmlformats.org/officeDocument/2006/relationships/hyperlink" Target="http://www.plants.usda.gov/java/profile?symbol=SPLAL" TargetMode="External"/><Relationship Id="rId2006" Type="http://schemas.openxmlformats.org/officeDocument/2006/relationships/hyperlink" Target="http://www.plants.usda.gov/java/profile?symbol=VICU" TargetMode="External"/><Relationship Id="rId2213" Type="http://schemas.openxmlformats.org/officeDocument/2006/relationships/hyperlink" Target="http://www.plants.usda.gov/java/profile?symbol=HULU2" TargetMode="External"/><Relationship Id="rId2420" Type="http://schemas.openxmlformats.org/officeDocument/2006/relationships/hyperlink" Target="http://www.plants.usda.gov/java/profile?symbol=RULAL" TargetMode="External"/><Relationship Id="rId171" Type="http://schemas.openxmlformats.org/officeDocument/2006/relationships/hyperlink" Target="http://www.plants.usda.gov/java/profile?symbol=CASY" TargetMode="External"/><Relationship Id="rId837" Type="http://schemas.openxmlformats.org/officeDocument/2006/relationships/hyperlink" Target="http://www.plants.usda.gov/java/profile?symbol=COCUG2" TargetMode="External"/><Relationship Id="rId1022" Type="http://schemas.openxmlformats.org/officeDocument/2006/relationships/hyperlink" Target="http://www.plants.usda.gov/java/profile?symbol=EUSP" TargetMode="External"/><Relationship Id="rId1467" Type="http://schemas.openxmlformats.org/officeDocument/2006/relationships/hyperlink" Target="http://www.plants.usda.gov/java/profile?symbol=PECA" TargetMode="External"/><Relationship Id="rId1674" Type="http://schemas.openxmlformats.org/officeDocument/2006/relationships/hyperlink" Target="http://www.plants.usda.gov/java/profile?symbol=RACO3" TargetMode="External"/><Relationship Id="rId1881" Type="http://schemas.openxmlformats.org/officeDocument/2006/relationships/hyperlink" Target="http://www.plants.usda.gov/java/profile?symbol=SYOB" TargetMode="External"/><Relationship Id="rId2297" Type="http://schemas.openxmlformats.org/officeDocument/2006/relationships/hyperlink" Target="http://www.plants.usda.gov/java/profile?symbol=PODEM" TargetMode="External"/><Relationship Id="rId2518" Type="http://schemas.openxmlformats.org/officeDocument/2006/relationships/hyperlink" Target="http://www.plants.usda.gov/java/profile?symbol=CLMA4" TargetMode="External"/><Relationship Id="rId269" Type="http://schemas.openxmlformats.org/officeDocument/2006/relationships/hyperlink" Target="http://www.plants.usda.gov/java/profile?symbol=ELWO" TargetMode="External"/><Relationship Id="rId476" Type="http://schemas.openxmlformats.org/officeDocument/2006/relationships/hyperlink" Target="http://www.plants.usda.gov/java/profile?symbol=ACRH" TargetMode="External"/><Relationship Id="rId683" Type="http://schemas.openxmlformats.org/officeDocument/2006/relationships/hyperlink" Target="http://www.plants.usda.gov/java/profile?symbol=BOCY" TargetMode="External"/><Relationship Id="rId890" Type="http://schemas.openxmlformats.org/officeDocument/2006/relationships/hyperlink" Target="http://www.plants.usda.gov/java/profile?symbol=CYTE7" TargetMode="External"/><Relationship Id="rId904" Type="http://schemas.openxmlformats.org/officeDocument/2006/relationships/hyperlink" Target="http://www.plants.usda.gov/java/profile?symbol=DECAC3" TargetMode="External"/><Relationship Id="rId1327" Type="http://schemas.openxmlformats.org/officeDocument/2006/relationships/hyperlink" Target="http://www.plants.usda.gov/java/profile?symbol=LYLA" TargetMode="External"/><Relationship Id="rId1534" Type="http://schemas.openxmlformats.org/officeDocument/2006/relationships/hyperlink" Target="http://www.plants.usda.gov/java/profile?symbol=PLVI" TargetMode="External"/><Relationship Id="rId1741" Type="http://schemas.openxmlformats.org/officeDocument/2006/relationships/hyperlink" Target="http://www.plants.usda.gov/java/profile?symbol=SCOV" TargetMode="External"/><Relationship Id="rId1979" Type="http://schemas.openxmlformats.org/officeDocument/2006/relationships/hyperlink" Target="http://www.plants.usda.gov/java/profile?symbol=VEBA" TargetMode="External"/><Relationship Id="rId2157" Type="http://schemas.openxmlformats.org/officeDocument/2006/relationships/hyperlink" Target="http://www.plants.usda.gov/java/profile?symbol=CRMA4" TargetMode="External"/><Relationship Id="rId2364" Type="http://schemas.openxmlformats.org/officeDocument/2006/relationships/hyperlink" Target="http://www.plants.usda.gov/java/profile?symbol=RICY" TargetMode="External"/><Relationship Id="rId2571" Type="http://schemas.openxmlformats.org/officeDocument/2006/relationships/hyperlink" Target="http://www.plants.usda.gov/java/profile?symbol=SMTA2" TargetMode="External"/><Relationship Id="rId33" Type="http://schemas.openxmlformats.org/officeDocument/2006/relationships/hyperlink" Target="http://www.plants.usda.gov/java/profile?symbol=BRER2" TargetMode="External"/><Relationship Id="rId129" Type="http://schemas.openxmlformats.org/officeDocument/2006/relationships/hyperlink" Target="http://www.plants.usda.gov/java/profile?symbol=CALU3" TargetMode="External"/><Relationship Id="rId336" Type="http://schemas.openxmlformats.org/officeDocument/2006/relationships/hyperlink" Target="http://www.plants.usda.gov/java/profile?symbol=JUDU2" TargetMode="External"/><Relationship Id="rId543" Type="http://schemas.openxmlformats.org/officeDocument/2006/relationships/hyperlink" Target="http://www.plants.usda.gov/java/profile?symbol=AMTR" TargetMode="External"/><Relationship Id="rId988" Type="http://schemas.openxmlformats.org/officeDocument/2006/relationships/hyperlink" Target="http://www.plants.usda.gov/java/profile?symbol=ERPUP" TargetMode="External"/><Relationship Id="rId1173" Type="http://schemas.openxmlformats.org/officeDocument/2006/relationships/hyperlink" Target="http://www.plants.usda.gov/java/profile?symbol=HUBA" TargetMode="External"/><Relationship Id="rId1380" Type="http://schemas.openxmlformats.org/officeDocument/2006/relationships/hyperlink" Target="http://www.plants.usda.gov/java/profile?symbol=MOFIM3" TargetMode="External"/><Relationship Id="rId1601" Type="http://schemas.openxmlformats.org/officeDocument/2006/relationships/hyperlink" Target="http://www.plants.usda.gov/java/profile?symbol=POFR3" TargetMode="External"/><Relationship Id="rId1839" Type="http://schemas.openxmlformats.org/officeDocument/2006/relationships/hyperlink" Target="http://www.plants.usda.gov/java/profile?symbol=STPIP5" TargetMode="External"/><Relationship Id="rId2017" Type="http://schemas.openxmlformats.org/officeDocument/2006/relationships/hyperlink" Target="http://www.plants.usda.gov/java/profile?symbol=VIPUP2" TargetMode="External"/><Relationship Id="rId2224" Type="http://schemas.openxmlformats.org/officeDocument/2006/relationships/hyperlink" Target="http://www.plants.usda.gov/java/profile?symbol=JUVIV" TargetMode="External"/><Relationship Id="rId182" Type="http://schemas.openxmlformats.org/officeDocument/2006/relationships/hyperlink" Target="http://www.plants.usda.gov/java/profile?symbol=CAUT" TargetMode="External"/><Relationship Id="rId403" Type="http://schemas.openxmlformats.org/officeDocument/2006/relationships/hyperlink" Target="http://www.plants.usda.gov/java/profile?symbol=PONE" TargetMode="External"/><Relationship Id="rId750" Type="http://schemas.openxmlformats.org/officeDocument/2006/relationships/hyperlink" Target="http://www.plants.usda.gov/java/profile?symbol=CHMA15" TargetMode="External"/><Relationship Id="rId848" Type="http://schemas.openxmlformats.org/officeDocument/2006/relationships/hyperlink" Target="http://www.plants.usda.gov/java/profile?symbol=CRGL2" TargetMode="External"/><Relationship Id="rId1033" Type="http://schemas.openxmlformats.org/officeDocument/2006/relationships/hyperlink" Target="http://www.plants.usda.gov/java/profile?symbol=FRVI" TargetMode="External"/><Relationship Id="rId1478" Type="http://schemas.openxmlformats.org/officeDocument/2006/relationships/hyperlink" Target="http://www.plants.usda.gov/java/profile?symbol=PEDI" TargetMode="External"/><Relationship Id="rId1685" Type="http://schemas.openxmlformats.org/officeDocument/2006/relationships/hyperlink" Target="http://www.plants.usda.gov/java/profile?symbol=RUHI2" TargetMode="External"/><Relationship Id="rId1892" Type="http://schemas.openxmlformats.org/officeDocument/2006/relationships/hyperlink" Target="http://www.plants.usda.gov/java/profile?symbol=SYPR6" TargetMode="External"/><Relationship Id="rId1906" Type="http://schemas.openxmlformats.org/officeDocument/2006/relationships/hyperlink" Target="http://www.plants.usda.gov/java/profile?symbol=TECAO" TargetMode="External"/><Relationship Id="rId2431" Type="http://schemas.openxmlformats.org/officeDocument/2006/relationships/hyperlink" Target="http://www.plants.usda.gov/java/profile?symbol=SALU" TargetMode="External"/><Relationship Id="rId2529" Type="http://schemas.openxmlformats.org/officeDocument/2006/relationships/hyperlink" Target="http://www.plants.usda.gov/java/profile?symbol=CUINN" TargetMode="External"/><Relationship Id="rId487" Type="http://schemas.openxmlformats.org/officeDocument/2006/relationships/hyperlink" Target="http://www.plants.usda.gov/java/profile?symbol=ACRAR" TargetMode="External"/><Relationship Id="rId610" Type="http://schemas.openxmlformats.org/officeDocument/2006/relationships/hyperlink" Target="http://www.plants.usda.gov/java/profile?symbol=ARSE4" TargetMode="External"/><Relationship Id="rId694" Type="http://schemas.openxmlformats.org/officeDocument/2006/relationships/hyperlink" Target="http://www.plants.usda.gov/java/profile?symbol=BRSC" TargetMode="External"/><Relationship Id="rId708" Type="http://schemas.openxmlformats.org/officeDocument/2006/relationships/hyperlink" Target="http://www.plants.usda.gov/java/profile?symbol=CAPA5" TargetMode="External"/><Relationship Id="rId915" Type="http://schemas.openxmlformats.org/officeDocument/2006/relationships/hyperlink" Target="http://www.plants.usda.gov/java/profile?symbol=DECUL" TargetMode="External"/><Relationship Id="rId1240" Type="http://schemas.openxmlformats.org/officeDocument/2006/relationships/hyperlink" Target="http://www.plants.usda.gov/java/profile?symbol=LEDED" TargetMode="External"/><Relationship Id="rId1338" Type="http://schemas.openxmlformats.org/officeDocument/2006/relationships/hyperlink" Target="http://www.plants.usda.gov/java/profile?symbol=MAPIG3" TargetMode="External"/><Relationship Id="rId1545" Type="http://schemas.openxmlformats.org/officeDocument/2006/relationships/hyperlink" Target="http://www.plants.usda.gov/java/profile?symbol=PLPR4" TargetMode="External"/><Relationship Id="rId2070" Type="http://schemas.openxmlformats.org/officeDocument/2006/relationships/hyperlink" Target="http://www.plants.usda.gov/java/profile?symbol=ALINR" TargetMode="External"/><Relationship Id="rId2168" Type="http://schemas.openxmlformats.org/officeDocument/2006/relationships/hyperlink" Target="http://www.plants.usda.gov/java/profile?symbol=DAPU5" TargetMode="External"/><Relationship Id="rId2375" Type="http://schemas.openxmlformats.org/officeDocument/2006/relationships/hyperlink" Target="http://www.plants.usda.gov/java/profile?symbol=ROAR3" TargetMode="External"/><Relationship Id="rId347" Type="http://schemas.openxmlformats.org/officeDocument/2006/relationships/hyperlink" Target="http://www.plants.usda.gov/java/profile?symbol=JUTO" TargetMode="External"/><Relationship Id="rId999" Type="http://schemas.openxmlformats.org/officeDocument/2006/relationships/hyperlink" Target="http://www.plants.usda.gov/java/profile?symbol=ERAM5" TargetMode="External"/><Relationship Id="rId1100" Type="http://schemas.openxmlformats.org/officeDocument/2006/relationships/hyperlink" Target="http://www.plants.usda.gov/java/profile?symbol=GYRO" TargetMode="External"/><Relationship Id="rId1184" Type="http://schemas.openxmlformats.org/officeDocument/2006/relationships/hyperlink" Target="http://www.plants.usda.gov/java/profile?symbol=HYCA7" TargetMode="External"/><Relationship Id="rId1405" Type="http://schemas.openxmlformats.org/officeDocument/2006/relationships/hyperlink" Target="http://www.plants.usda.gov/java/profile?symbol=NOCU" TargetMode="External"/><Relationship Id="rId1752" Type="http://schemas.openxmlformats.org/officeDocument/2006/relationships/hyperlink" Target="http://www.plants.usda.gov/java/profile?symbol=SEMA11" TargetMode="External"/><Relationship Id="rId2028" Type="http://schemas.openxmlformats.org/officeDocument/2006/relationships/hyperlink" Target="http://www.plants.usda.gov/java/profile?symbol=WOBR" TargetMode="External"/><Relationship Id="rId2582" Type="http://schemas.openxmlformats.org/officeDocument/2006/relationships/hyperlink" Target="http://www.plants.usda.gov/java/profile?symbol=VIAE" TargetMode="External"/><Relationship Id="rId44" Type="http://schemas.openxmlformats.org/officeDocument/2006/relationships/hyperlink" Target="http://www.plants.usda.gov/java/profile?symbol=CACA4" TargetMode="External"/><Relationship Id="rId554" Type="http://schemas.openxmlformats.org/officeDocument/2006/relationships/hyperlink" Target="http://www.plants.usda.gov/java/profile?symbol=ANOC2" TargetMode="External"/><Relationship Id="rId761" Type="http://schemas.openxmlformats.org/officeDocument/2006/relationships/hyperlink" Target="http://www.plants.usda.gov/java/profile?symbol=CHGL2" TargetMode="External"/><Relationship Id="rId859" Type="http://schemas.openxmlformats.org/officeDocument/2006/relationships/hyperlink" Target="http://www.plants.usda.gov/java/profile?symbol=CUCE" TargetMode="External"/><Relationship Id="rId1391" Type="http://schemas.openxmlformats.org/officeDocument/2006/relationships/hyperlink" Target="http://www.plants.usda.gov/java/profile?symbol=MYPI" TargetMode="External"/><Relationship Id="rId1489" Type="http://schemas.openxmlformats.org/officeDocument/2006/relationships/hyperlink" Target="http://www.plants.usda.gov/java/profile?symbol=PHCO24" TargetMode="External"/><Relationship Id="rId1612" Type="http://schemas.openxmlformats.org/officeDocument/2006/relationships/hyperlink" Target="http://www.plants.usda.gov/java/profile?symbol=POSP3" TargetMode="External"/><Relationship Id="rId1696" Type="http://schemas.openxmlformats.org/officeDocument/2006/relationships/hyperlink" Target="http://www.plants.usda.gov/java/profile?symbol=RUAQF" TargetMode="External"/><Relationship Id="rId1917" Type="http://schemas.openxmlformats.org/officeDocument/2006/relationships/hyperlink" Target="http://www.plants.usda.gov/java/profile?symbol=TORA2" TargetMode="External"/><Relationship Id="rId2235" Type="http://schemas.openxmlformats.org/officeDocument/2006/relationships/hyperlink" Target="http://www.plants.usda.gov/java/profile?symbol=LYDE" TargetMode="External"/><Relationship Id="rId2442" Type="http://schemas.openxmlformats.org/officeDocument/2006/relationships/hyperlink" Target="http://www.plants.usda.gov/java/profile?symbol=SAAL5" TargetMode="External"/><Relationship Id="rId193" Type="http://schemas.openxmlformats.org/officeDocument/2006/relationships/hyperlink" Target="http://www.plants.usda.gov/java/profile?symbol=CIAR2" TargetMode="External"/><Relationship Id="rId207" Type="http://schemas.openxmlformats.org/officeDocument/2006/relationships/hyperlink" Target="http://www.plants.usda.gov/java/profile?symbol=DIOB3" TargetMode="External"/><Relationship Id="rId414" Type="http://schemas.openxmlformats.org/officeDocument/2006/relationships/hyperlink" Target="http://www.plants.usda.gov/java/profile?symbol=SCPU" TargetMode="External"/><Relationship Id="rId498" Type="http://schemas.openxmlformats.org/officeDocument/2006/relationships/hyperlink" Target="http://www.plants.usda.gov/java/profile?symbol=AGPAP3" TargetMode="External"/><Relationship Id="rId621" Type="http://schemas.openxmlformats.org/officeDocument/2006/relationships/hyperlink" Target="http://www.plants.usda.gov/java/profile?symbol=ASLA3" TargetMode="External"/><Relationship Id="rId1044" Type="http://schemas.openxmlformats.org/officeDocument/2006/relationships/hyperlink" Target="http://www.plants.usda.gov/java/profile?symbol=GAAS2" TargetMode="External"/><Relationship Id="rId1251" Type="http://schemas.openxmlformats.org/officeDocument/2006/relationships/hyperlink" Target="http://www.plants.usda.gov/java/profile?symbol=LEMU" TargetMode="External"/><Relationship Id="rId1349" Type="http://schemas.openxmlformats.org/officeDocument/2006/relationships/hyperlink" Target="http://www.plants.usda.gov/java/profile?symbol=MAVE2" TargetMode="External"/><Relationship Id="rId2081" Type="http://schemas.openxmlformats.org/officeDocument/2006/relationships/hyperlink" Target="http://www.plants.usda.gov/java/profile?symbol=AMSAS" TargetMode="External"/><Relationship Id="rId2179" Type="http://schemas.openxmlformats.org/officeDocument/2006/relationships/hyperlink" Target="http://www.plants.usda.gov/java/profile?symbol=DIPA9" TargetMode="External"/><Relationship Id="rId2302" Type="http://schemas.openxmlformats.org/officeDocument/2006/relationships/hyperlink" Target="http://www.plants.usda.gov/java/profile?symbol=POAR7" TargetMode="External"/><Relationship Id="rId260" Type="http://schemas.openxmlformats.org/officeDocument/2006/relationships/hyperlink" Target="http://www.plants.usda.gov/java/profile?symbol=ELOL" TargetMode="External"/><Relationship Id="rId719" Type="http://schemas.openxmlformats.org/officeDocument/2006/relationships/hyperlink" Target="http://www.plants.usda.gov/java/profile?symbol=CASPS" TargetMode="External"/><Relationship Id="rId926" Type="http://schemas.openxmlformats.org/officeDocument/2006/relationships/hyperlink" Target="http://www.plants.usda.gov/java/profile?symbol=DIDI" TargetMode="External"/><Relationship Id="rId1111" Type="http://schemas.openxmlformats.org/officeDocument/2006/relationships/hyperlink" Target="http://www.plants.usda.gov/java/profile?symbol=HEBI2" TargetMode="External"/><Relationship Id="rId1556" Type="http://schemas.openxmlformats.org/officeDocument/2006/relationships/hyperlink" Target="http://www.plants.usda.gov/java/profile?symbol=POIN4" TargetMode="External"/><Relationship Id="rId1763" Type="http://schemas.openxmlformats.org/officeDocument/2006/relationships/hyperlink" Target="http://www.plants.usda.gov/java/profile?symbol=SIIN2" TargetMode="External"/><Relationship Id="rId1970" Type="http://schemas.openxmlformats.org/officeDocument/2006/relationships/hyperlink" Target="http://www.plants.usda.gov/java/profile?symbol=VEUR" TargetMode="External"/><Relationship Id="rId2386" Type="http://schemas.openxmlformats.org/officeDocument/2006/relationships/hyperlink" Target="http://www.plants.usda.gov/java/profile?symbol=ROWO" TargetMode="External"/><Relationship Id="rId55" Type="http://schemas.openxmlformats.org/officeDocument/2006/relationships/hyperlink" Target="http://www.plants.usda.gov/java/profile?symbol=CAAL11" TargetMode="External"/><Relationship Id="rId120" Type="http://schemas.openxmlformats.org/officeDocument/2006/relationships/hyperlink" Target="http://www.plants.usda.gov/java/profile?symbol=CALA11" TargetMode="External"/><Relationship Id="rId358" Type="http://schemas.openxmlformats.org/officeDocument/2006/relationships/hyperlink" Target="http://www.plants.usda.gov/java/profile?symbol=LUAC" TargetMode="External"/><Relationship Id="rId565" Type="http://schemas.openxmlformats.org/officeDocument/2006/relationships/hyperlink" Target="http://www.plants.usda.gov/java/profile?symbol=ANHON" TargetMode="External"/><Relationship Id="rId772" Type="http://schemas.openxmlformats.org/officeDocument/2006/relationships/hyperlink" Target="http://www.plants.usda.gov/java/profile?symbol=CHFO3" TargetMode="External"/><Relationship Id="rId1195" Type="http://schemas.openxmlformats.org/officeDocument/2006/relationships/hyperlink" Target="http://www.plants.usda.gov/java/profile?symbol=IOPI" TargetMode="External"/><Relationship Id="rId1209" Type="http://schemas.openxmlformats.org/officeDocument/2006/relationships/hyperlink" Target="http://www.plants.usda.gov/java/profile?symbol=KRBIB" TargetMode="External"/><Relationship Id="rId1416" Type="http://schemas.openxmlformats.org/officeDocument/2006/relationships/hyperlink" Target="http://www.plants.usda.gov/java/profile?symbol=OEPE" TargetMode="External"/><Relationship Id="rId1623" Type="http://schemas.openxmlformats.org/officeDocument/2006/relationships/hyperlink" Target="http://www.plants.usda.gov/java/profile?symbol=POPE8" TargetMode="External"/><Relationship Id="rId1830" Type="http://schemas.openxmlformats.org/officeDocument/2006/relationships/hyperlink" Target="http://www.plants.usda.gov/java/profile?symbol=SPMA5" TargetMode="External"/><Relationship Id="rId2039" Type="http://schemas.openxmlformats.org/officeDocument/2006/relationships/hyperlink" Target="http://www.plants.usda.gov/java/profile?symbol=YUGL" TargetMode="External"/><Relationship Id="rId2246" Type="http://schemas.openxmlformats.org/officeDocument/2006/relationships/hyperlink" Target="http://www.plants.usda.gov/java/profile?symbol=MEPA" TargetMode="External"/><Relationship Id="rId2453" Type="http://schemas.openxmlformats.org/officeDocument/2006/relationships/hyperlink" Target="http://www.plants.usda.gov/java/profile?symbol=SPCO" TargetMode="External"/><Relationship Id="rId218" Type="http://schemas.openxmlformats.org/officeDocument/2006/relationships/hyperlink" Target="http://www.plants.usda.gov/java/profile?symbol=DILA8" TargetMode="External"/><Relationship Id="rId425" Type="http://schemas.openxmlformats.org/officeDocument/2006/relationships/hyperlink" Target="http://www.plants.usda.gov/java/profile?symbol=SCPUL4" TargetMode="External"/><Relationship Id="rId632" Type="http://schemas.openxmlformats.org/officeDocument/2006/relationships/hyperlink" Target="http://www.plants.usda.gov/java/profile?symbol=ASTUI" TargetMode="External"/><Relationship Id="rId1055" Type="http://schemas.openxmlformats.org/officeDocument/2006/relationships/hyperlink" Target="http://www.plants.usda.gov/java/profile?symbol=GATR3" TargetMode="External"/><Relationship Id="rId1262" Type="http://schemas.openxmlformats.org/officeDocument/2006/relationships/hyperlink" Target="http://www.plants.usda.gov/java/profile?symbol=LISQ" TargetMode="External"/><Relationship Id="rId1928" Type="http://schemas.openxmlformats.org/officeDocument/2006/relationships/hyperlink" Target="http://www.plants.usda.gov/java/profile?symbol=TRRE2" TargetMode="External"/><Relationship Id="rId2092" Type="http://schemas.openxmlformats.org/officeDocument/2006/relationships/hyperlink" Target="http://www.plants.usda.gov/java/profile?symbol=ARFR4" TargetMode="External"/><Relationship Id="rId2106" Type="http://schemas.openxmlformats.org/officeDocument/2006/relationships/hyperlink" Target="http://www.plants.usda.gov/java/profile?symbol=BEPU4" TargetMode="External"/><Relationship Id="rId2313" Type="http://schemas.openxmlformats.org/officeDocument/2006/relationships/hyperlink" Target="http://www.plants.usda.gov/java/profile?symbol=PRSE2" TargetMode="External"/><Relationship Id="rId2520" Type="http://schemas.openxmlformats.org/officeDocument/2006/relationships/hyperlink" Target="http://www.plants.usda.gov/java/profile?symbol=CUCE" TargetMode="External"/><Relationship Id="rId271" Type="http://schemas.openxmlformats.org/officeDocument/2006/relationships/hyperlink" Target="http://www.plants.usda.gov/java/profile?symbol=ELMA8" TargetMode="External"/><Relationship Id="rId937" Type="http://schemas.openxmlformats.org/officeDocument/2006/relationships/hyperlink" Target="http://www.plants.usda.gov/java/profile?symbol=DOUMP2" TargetMode="External"/><Relationship Id="rId1122" Type="http://schemas.openxmlformats.org/officeDocument/2006/relationships/hyperlink" Target="http://www.plants.usda.gov/java/profile?symbol=HEMA2" TargetMode="External"/><Relationship Id="rId1567" Type="http://schemas.openxmlformats.org/officeDocument/2006/relationships/hyperlink" Target="http://www.plants.usda.gov/java/profile?symbol=POAM8" TargetMode="External"/><Relationship Id="rId1774" Type="http://schemas.openxmlformats.org/officeDocument/2006/relationships/hyperlink" Target="http://www.plants.usda.gov/java/profile?symbol=SICA9" TargetMode="External"/><Relationship Id="rId1981" Type="http://schemas.openxmlformats.org/officeDocument/2006/relationships/hyperlink" Target="http://www.plants.usda.gov/java/profile?symbol=VEFA2" TargetMode="External"/><Relationship Id="rId2397" Type="http://schemas.openxmlformats.org/officeDocument/2006/relationships/hyperlink" Target="http://www.plants.usda.gov/java/profile?symbol=RUID" TargetMode="External"/><Relationship Id="rId66" Type="http://schemas.openxmlformats.org/officeDocument/2006/relationships/hyperlink" Target="http://www.plants.usda.gov/java/profile?symbol=CABL" TargetMode="External"/><Relationship Id="rId131" Type="http://schemas.openxmlformats.org/officeDocument/2006/relationships/hyperlink" Target="http://www.plants.usda.gov/java/profile?symbol=CALU5" TargetMode="External"/><Relationship Id="rId369" Type="http://schemas.openxmlformats.org/officeDocument/2006/relationships/hyperlink" Target="http://www.plants.usda.gov/java/profile?symbol=MUAS" TargetMode="External"/><Relationship Id="rId576" Type="http://schemas.openxmlformats.org/officeDocument/2006/relationships/hyperlink" Target="http://www.plants.usda.gov/java/profile?symbol=AQCA" TargetMode="External"/><Relationship Id="rId783" Type="http://schemas.openxmlformats.org/officeDocument/2006/relationships/hyperlink" Target="http://www.plants.usda.gov/java/profile?symbol=CIMA2" TargetMode="External"/><Relationship Id="rId990" Type="http://schemas.openxmlformats.org/officeDocument/2006/relationships/hyperlink" Target="http://www.plants.usda.gov/java/profile?symbol=ERSTS" TargetMode="External"/><Relationship Id="rId1427" Type="http://schemas.openxmlformats.org/officeDocument/2006/relationships/hyperlink" Target="http://www.plants.usda.gov/java/profile?symbol=OLRIR" TargetMode="External"/><Relationship Id="rId1634" Type="http://schemas.openxmlformats.org/officeDocument/2006/relationships/hyperlink" Target="http://www.plants.usda.gov/java/profile?symbol=PRLOL" TargetMode="External"/><Relationship Id="rId1841" Type="http://schemas.openxmlformats.org/officeDocument/2006/relationships/hyperlink" Target="http://www.plants.usda.gov/java/profile?symbol=STLO" TargetMode="External"/><Relationship Id="rId2257" Type="http://schemas.openxmlformats.org/officeDocument/2006/relationships/hyperlink" Target="http://www.plants.usda.gov/java/profile?symbol=MORUR" TargetMode="External"/><Relationship Id="rId2464" Type="http://schemas.openxmlformats.org/officeDocument/2006/relationships/hyperlink" Target="http://www.plants.usda.gov/java/profile?symbol=SYOO" TargetMode="External"/><Relationship Id="rId229" Type="http://schemas.openxmlformats.org/officeDocument/2006/relationships/hyperlink" Target="http://www.plants.usda.gov/java/profile?symbol=DISAP" TargetMode="External"/><Relationship Id="rId436" Type="http://schemas.openxmlformats.org/officeDocument/2006/relationships/hyperlink" Target="http://www.plants.usda.gov/java/profile?symbol=SCPE4" TargetMode="External"/><Relationship Id="rId643" Type="http://schemas.openxmlformats.org/officeDocument/2006/relationships/hyperlink" Target="http://www.plants.usda.gov/java/profile?symbol=ASDI4" TargetMode="External"/><Relationship Id="rId1066" Type="http://schemas.openxmlformats.org/officeDocument/2006/relationships/hyperlink" Target="http://www.plants.usda.gov/java/profile?symbol=GECU3" TargetMode="External"/><Relationship Id="rId1273" Type="http://schemas.openxmlformats.org/officeDocument/2006/relationships/hyperlink" Target="http://www.plants.usda.gov/java/profile?symbol=LIBOA" TargetMode="External"/><Relationship Id="rId1480" Type="http://schemas.openxmlformats.org/officeDocument/2006/relationships/hyperlink" Target="http://www.plants.usda.gov/java/profile?symbol=PEGRG3" TargetMode="External"/><Relationship Id="rId1939" Type="http://schemas.openxmlformats.org/officeDocument/2006/relationships/hyperlink" Target="http://www.plants.usda.gov/java/profile?symbol=TRTR3" TargetMode="External"/><Relationship Id="rId2117" Type="http://schemas.openxmlformats.org/officeDocument/2006/relationships/hyperlink" Target="http://www.plants.usda.gov/java/profile?symbol=CALA21" TargetMode="External"/><Relationship Id="rId2324" Type="http://schemas.openxmlformats.org/officeDocument/2006/relationships/hyperlink" Target="http://www.plants.usda.gov/java/profile?symbol=QUBE3" TargetMode="External"/><Relationship Id="rId850" Type="http://schemas.openxmlformats.org/officeDocument/2006/relationships/hyperlink" Target="http://www.plants.usda.gov/java/profile?symbol=CRMI8" TargetMode="External"/><Relationship Id="rId948" Type="http://schemas.openxmlformats.org/officeDocument/2006/relationships/hyperlink" Target="http://www.plants.usda.gov/java/profile?symbol=DRIN5" TargetMode="External"/><Relationship Id="rId1133" Type="http://schemas.openxmlformats.org/officeDocument/2006/relationships/hyperlink" Target="http://www.plants.usda.gov/java/profile?symbol=HEST" TargetMode="External"/><Relationship Id="rId1578" Type="http://schemas.openxmlformats.org/officeDocument/2006/relationships/hyperlink" Target="http://www.plants.usda.gov/java/profile?symbol=POPU5" TargetMode="External"/><Relationship Id="rId1701" Type="http://schemas.openxmlformats.org/officeDocument/2006/relationships/hyperlink" Target="http://www.plants.usda.gov/java/profile?symbol=RUSA" TargetMode="External"/><Relationship Id="rId1785" Type="http://schemas.openxmlformats.org/officeDocument/2006/relationships/hyperlink" Target="http://www.plants.usda.gov/java/profile?symbol=SOCIC" TargetMode="External"/><Relationship Id="rId1992" Type="http://schemas.openxmlformats.org/officeDocument/2006/relationships/hyperlink" Target="http://www.plants.usda.gov/java/profile?symbol=VESC2" TargetMode="External"/><Relationship Id="rId2531" Type="http://schemas.openxmlformats.org/officeDocument/2006/relationships/hyperlink" Target="http://www.plants.usda.gov/java/profile?symbol=CUPEP2" TargetMode="External"/><Relationship Id="rId77" Type="http://schemas.openxmlformats.org/officeDocument/2006/relationships/hyperlink" Target="http://www.plants.usda.gov/java/profile?symbol=CACO13" TargetMode="External"/><Relationship Id="rId282" Type="http://schemas.openxmlformats.org/officeDocument/2006/relationships/hyperlink" Target="http://www.plants.usda.gov/java/profile?symbol=ELTRS" TargetMode="External"/><Relationship Id="rId503" Type="http://schemas.openxmlformats.org/officeDocument/2006/relationships/hyperlink" Target="http://www.plants.usda.gov/java/profile?symbol=AGTEP2" TargetMode="External"/><Relationship Id="rId587" Type="http://schemas.openxmlformats.org/officeDocument/2006/relationships/hyperlink" Target="http://www.plants.usda.gov/java/profile?symbol=ARSH2" TargetMode="External"/><Relationship Id="rId710" Type="http://schemas.openxmlformats.org/officeDocument/2006/relationships/hyperlink" Target="http://www.plants.usda.gov/java/profile?symbol=CASE12" TargetMode="External"/><Relationship Id="rId808" Type="http://schemas.openxmlformats.org/officeDocument/2006/relationships/hyperlink" Target="http://www.plants.usda.gov/java/profile?symbol=COLI2" TargetMode="External"/><Relationship Id="rId1340" Type="http://schemas.openxmlformats.org/officeDocument/2006/relationships/hyperlink" Target="http://www.plants.usda.gov/java/profile?symbol=MAGL2" TargetMode="External"/><Relationship Id="rId1438" Type="http://schemas.openxmlformats.org/officeDocument/2006/relationships/hyperlink" Target="http://www.plants.usda.gov/java/profile?symbol=OSCL" TargetMode="External"/><Relationship Id="rId1645" Type="http://schemas.openxmlformats.org/officeDocument/2006/relationships/hyperlink" Target="http://www.plants.usda.gov/java/profile?symbol=PTAQL" TargetMode="External"/><Relationship Id="rId2170" Type="http://schemas.openxmlformats.org/officeDocument/2006/relationships/hyperlink" Target="http://www.plants.usda.gov/java/profile?symbol=DAVI" TargetMode="External"/><Relationship Id="rId2268" Type="http://schemas.openxmlformats.org/officeDocument/2006/relationships/hyperlink" Target="http://www.plants.usda.gov/java/profile?symbol=PECA" TargetMode="External"/><Relationship Id="rId8" Type="http://schemas.openxmlformats.org/officeDocument/2006/relationships/hyperlink" Target="http://www.plants.usda.gov/java/profile?symbol=ALCA4" TargetMode="External"/><Relationship Id="rId142" Type="http://schemas.openxmlformats.org/officeDocument/2006/relationships/hyperlink" Target="http://www.plants.usda.gov/java/profile?symbol=CANOI" TargetMode="External"/><Relationship Id="rId447" Type="http://schemas.openxmlformats.org/officeDocument/2006/relationships/hyperlink" Target="http://www.plants.usda.gov/java/profile?symbol=SPCO16" TargetMode="External"/><Relationship Id="rId794" Type="http://schemas.openxmlformats.org/officeDocument/2006/relationships/hyperlink" Target="http://www.plants.usda.gov/java/profile?symbol=CIDI" TargetMode="External"/><Relationship Id="rId1077" Type="http://schemas.openxmlformats.org/officeDocument/2006/relationships/hyperlink" Target="http://www.plants.usda.gov/java/profile?symbol=GEMA" TargetMode="External"/><Relationship Id="rId1200" Type="http://schemas.openxmlformats.org/officeDocument/2006/relationships/hyperlink" Target="http://www.plants.usda.gov/java/profile?symbol=IPPA" TargetMode="External"/><Relationship Id="rId1852" Type="http://schemas.openxmlformats.org/officeDocument/2006/relationships/hyperlink" Target="http://www.plants.usda.gov/java/profile?symbol=STPI3" TargetMode="External"/><Relationship Id="rId2030" Type="http://schemas.openxmlformats.org/officeDocument/2006/relationships/hyperlink" Target="http://www.plants.usda.gov/java/profile?symbol=WOIL" TargetMode="External"/><Relationship Id="rId2128" Type="http://schemas.openxmlformats.org/officeDocument/2006/relationships/hyperlink" Target="http://www.plants.usda.gov/java/profile?symbol=CEOC" TargetMode="External"/><Relationship Id="rId2475" Type="http://schemas.openxmlformats.org/officeDocument/2006/relationships/hyperlink" Target="http://www.plants.usda.gov/java/profile?symbol=TORA2" TargetMode="External"/><Relationship Id="rId654" Type="http://schemas.openxmlformats.org/officeDocument/2006/relationships/hyperlink" Target="http://www.plants.usda.gov/java/profile?symbol=ATPR" TargetMode="External"/><Relationship Id="rId861" Type="http://schemas.openxmlformats.org/officeDocument/2006/relationships/hyperlink" Target="http://www.plants.usda.gov/java/profile?symbol=CUCOC" TargetMode="External"/><Relationship Id="rId959" Type="http://schemas.openxmlformats.org/officeDocument/2006/relationships/hyperlink" Target="http://www.plants.usda.gov/java/profile?symbol=ECCO3" TargetMode="External"/><Relationship Id="rId1284" Type="http://schemas.openxmlformats.org/officeDocument/2006/relationships/hyperlink" Target="http://www.plants.usda.gov/java/profile?symbol=LICA12" TargetMode="External"/><Relationship Id="rId1491" Type="http://schemas.openxmlformats.org/officeDocument/2006/relationships/hyperlink" Target="http://www.plants.usda.gov/java/profile?symbol=PHPA29" TargetMode="External"/><Relationship Id="rId1505" Type="http://schemas.openxmlformats.org/officeDocument/2006/relationships/hyperlink" Target="http://www.plants.usda.gov/java/profile?symbol=PHGR22" TargetMode="External"/><Relationship Id="rId1589" Type="http://schemas.openxmlformats.org/officeDocument/2006/relationships/hyperlink" Target="http://www.plants.usda.gov/java/profile?symbol=POCA11" TargetMode="External"/><Relationship Id="rId1712" Type="http://schemas.openxmlformats.org/officeDocument/2006/relationships/hyperlink" Target="http://www.plants.usda.gov/java/profile?symbol=SACR4" TargetMode="External"/><Relationship Id="rId2335" Type="http://schemas.openxmlformats.org/officeDocument/2006/relationships/hyperlink" Target="http://www.plants.usda.gov/java/profile?symbol=QUMAM" TargetMode="External"/><Relationship Id="rId2542" Type="http://schemas.openxmlformats.org/officeDocument/2006/relationships/hyperlink" Target="http://www.plants.usda.gov/java/profile?symbol=HULUL" TargetMode="External"/><Relationship Id="rId293" Type="http://schemas.openxmlformats.org/officeDocument/2006/relationships/hyperlink" Target="http://www.plants.usda.gov/java/profile?symbol=ERPE" TargetMode="External"/><Relationship Id="rId307" Type="http://schemas.openxmlformats.org/officeDocument/2006/relationships/hyperlink" Target="http://www.plants.usda.gov/java/profile?symbol=FESA" TargetMode="External"/><Relationship Id="rId514" Type="http://schemas.openxmlformats.org/officeDocument/2006/relationships/hyperlink" Target="http://www.plants.usda.gov/java/profile?symbol=AGST" TargetMode="External"/><Relationship Id="rId721" Type="http://schemas.openxmlformats.org/officeDocument/2006/relationships/hyperlink" Target="http://www.plants.usda.gov/java/profile?symbol=CASC5" TargetMode="External"/><Relationship Id="rId1144" Type="http://schemas.openxmlformats.org/officeDocument/2006/relationships/hyperlink" Target="http://www.plants.usda.gov/java/profile?symbol=HELI2" TargetMode="External"/><Relationship Id="rId1351" Type="http://schemas.openxmlformats.org/officeDocument/2006/relationships/hyperlink" Target="http://www.plants.usda.gov/java/profile?symbol=MEAR4" TargetMode="External"/><Relationship Id="rId1449" Type="http://schemas.openxmlformats.org/officeDocument/2006/relationships/hyperlink" Target="http://www.plants.usda.gov/java/profile?symbol=OXVI" TargetMode="External"/><Relationship Id="rId1796" Type="http://schemas.openxmlformats.org/officeDocument/2006/relationships/hyperlink" Target="http://www.plants.usda.gov/java/profile?symbol=SOFL2" TargetMode="External"/><Relationship Id="rId2181" Type="http://schemas.openxmlformats.org/officeDocument/2006/relationships/hyperlink" Target="http://www.plants.usda.gov/java/profile?symbol=ERAN2" TargetMode="External"/><Relationship Id="rId2402" Type="http://schemas.openxmlformats.org/officeDocument/2006/relationships/hyperlink" Target="http://www.plants.usda.gov/java/profile?symbol=RUME3" TargetMode="External"/><Relationship Id="rId88" Type="http://schemas.openxmlformats.org/officeDocument/2006/relationships/hyperlink" Target="http://www.plants.usda.gov/java/profile?symbol=CADI4" TargetMode="External"/><Relationship Id="rId153" Type="http://schemas.openxmlformats.org/officeDocument/2006/relationships/hyperlink" Target="http://www.plants.usda.gov/java/profile?symbol=CARE4" TargetMode="External"/><Relationship Id="rId360" Type="http://schemas.openxmlformats.org/officeDocument/2006/relationships/hyperlink" Target="http://www.plants.usda.gov/java/profile?symbol=LUBU" TargetMode="External"/><Relationship Id="rId598" Type="http://schemas.openxmlformats.org/officeDocument/2006/relationships/hyperlink" Target="http://www.plants.usda.gov/java/profile?symbol=ARTRP" TargetMode="External"/><Relationship Id="rId819" Type="http://schemas.openxmlformats.org/officeDocument/2006/relationships/hyperlink" Target="http://www.plants.usda.gov/java/profile?symbol=CORA4" TargetMode="External"/><Relationship Id="rId1004" Type="http://schemas.openxmlformats.org/officeDocument/2006/relationships/hyperlink" Target="http://www.plants.usda.gov/java/profile?symbol=EUMAM3" TargetMode="External"/><Relationship Id="rId1211" Type="http://schemas.openxmlformats.org/officeDocument/2006/relationships/hyperlink" Target="http://www.plants.usda.gov/java/profile?symbol=KRVI" TargetMode="External"/><Relationship Id="rId1656" Type="http://schemas.openxmlformats.org/officeDocument/2006/relationships/hyperlink" Target="http://www.plants.usda.gov/java/profile?symbol=RACY" TargetMode="External"/><Relationship Id="rId1863" Type="http://schemas.openxmlformats.org/officeDocument/2006/relationships/hyperlink" Target="http://www.plants.usda.gov/java/profile?symbol=SYER" TargetMode="External"/><Relationship Id="rId2041" Type="http://schemas.openxmlformats.org/officeDocument/2006/relationships/hyperlink" Target="http://www.plants.usda.gov/java/profile?symbol=ZAPA" TargetMode="External"/><Relationship Id="rId2279" Type="http://schemas.openxmlformats.org/officeDocument/2006/relationships/hyperlink" Target="http://www.plants.usda.gov/java/profile?symbol=PHPIP2" TargetMode="External"/><Relationship Id="rId2486" Type="http://schemas.openxmlformats.org/officeDocument/2006/relationships/hyperlink" Target="http://www.plants.usda.gov/java/profile?symbol=VIMO" TargetMode="External"/><Relationship Id="rId220" Type="http://schemas.openxmlformats.org/officeDocument/2006/relationships/hyperlink" Target="http://www.plants.usda.gov/java/profile?symbol=DILI2" TargetMode="External"/><Relationship Id="rId458" Type="http://schemas.openxmlformats.org/officeDocument/2006/relationships/hyperlink" Target="http://www.plants.usda.gov/java/profile?symbol=TRPA28" TargetMode="External"/><Relationship Id="rId665" Type="http://schemas.openxmlformats.org/officeDocument/2006/relationships/hyperlink" Target="http://www.plants.usda.gov/java/profile?symbol=BABR2" TargetMode="External"/><Relationship Id="rId872" Type="http://schemas.openxmlformats.org/officeDocument/2006/relationships/hyperlink" Target="http://www.plants.usda.gov/java/profile?symbol=CYXA" TargetMode="External"/><Relationship Id="rId1088" Type="http://schemas.openxmlformats.org/officeDocument/2006/relationships/hyperlink" Target="http://www.plants.usda.gov/java/profile?symbol=GOPU" TargetMode="External"/><Relationship Id="rId1295" Type="http://schemas.openxmlformats.org/officeDocument/2006/relationships/hyperlink" Target="http://www.plants.usda.gov/java/profile?symbol=LOSP" TargetMode="External"/><Relationship Id="rId1309" Type="http://schemas.openxmlformats.org/officeDocument/2006/relationships/hyperlink" Target="http://www.plants.usda.gov/java/profile?symbol=LUPEG2" TargetMode="External"/><Relationship Id="rId1516" Type="http://schemas.openxmlformats.org/officeDocument/2006/relationships/hyperlink" Target="http://www.plants.usda.gov/java/profile?symbol=PHVI5" TargetMode="External"/><Relationship Id="rId1723" Type="http://schemas.openxmlformats.org/officeDocument/2006/relationships/hyperlink" Target="http://www.plants.usda.gov/java/profile?symbol=SAAN2" TargetMode="External"/><Relationship Id="rId1930" Type="http://schemas.openxmlformats.org/officeDocument/2006/relationships/hyperlink" Target="http://www.plants.usda.gov/java/profile?symbol=TRFL6" TargetMode="External"/><Relationship Id="rId2139" Type="http://schemas.openxmlformats.org/officeDocument/2006/relationships/hyperlink" Target="http://www.plants.usda.gov/java/profile?symbol=COAL2" TargetMode="External"/><Relationship Id="rId2346" Type="http://schemas.openxmlformats.org/officeDocument/2006/relationships/hyperlink" Target="http://www.plants.usda.gov/java/profile?symbol=QUST" TargetMode="External"/><Relationship Id="rId2553" Type="http://schemas.openxmlformats.org/officeDocument/2006/relationships/hyperlink" Target="http://www.plants.usda.gov/java/profile?symbol=LOSE" TargetMode="External"/><Relationship Id="rId15" Type="http://schemas.openxmlformats.org/officeDocument/2006/relationships/hyperlink" Target="http://www.plants.usda.gov/java/profile?symbol=ARDIC" TargetMode="External"/><Relationship Id="rId318" Type="http://schemas.openxmlformats.org/officeDocument/2006/relationships/hyperlink" Target="http://www.plants.usda.gov/java/profile?symbol=HECO26" TargetMode="External"/><Relationship Id="rId525" Type="http://schemas.openxmlformats.org/officeDocument/2006/relationships/hyperlink" Target="http://www.plants.usda.gov/java/profile?symbol=ALPE2" TargetMode="External"/><Relationship Id="rId732" Type="http://schemas.openxmlformats.org/officeDocument/2006/relationships/hyperlink" Target="http://www.plants.usda.gov/java/profile?symbol=CASE5" TargetMode="External"/><Relationship Id="rId1155" Type="http://schemas.openxmlformats.org/officeDocument/2006/relationships/hyperlink" Target="http://www.plants.usda.gov/java/profile?symbol=HEAMH" TargetMode="External"/><Relationship Id="rId1362" Type="http://schemas.openxmlformats.org/officeDocument/2006/relationships/hyperlink" Target="http://www.plants.usda.gov/java/profile?symbol=MIRI" TargetMode="External"/><Relationship Id="rId2192" Type="http://schemas.openxmlformats.org/officeDocument/2006/relationships/hyperlink" Target="http://www.plants.usda.gov/java/profile?symbol=FRPE" TargetMode="External"/><Relationship Id="rId2206" Type="http://schemas.openxmlformats.org/officeDocument/2006/relationships/hyperlink" Target="http://www.plants.usda.gov/java/profile?symbol=HESTS" TargetMode="External"/><Relationship Id="rId2413" Type="http://schemas.openxmlformats.org/officeDocument/2006/relationships/hyperlink" Target="http://www.plants.usda.gov/java/profile?symbol=RURO3" TargetMode="External"/><Relationship Id="rId99" Type="http://schemas.openxmlformats.org/officeDocument/2006/relationships/hyperlink" Target="http://www.plants.usda.gov/java/profile?symbol=CAGR2" TargetMode="External"/><Relationship Id="rId164" Type="http://schemas.openxmlformats.org/officeDocument/2006/relationships/hyperlink" Target="http://www.plants.usda.gov/java/profile?symbol=CASP7" TargetMode="External"/><Relationship Id="rId371" Type="http://schemas.openxmlformats.org/officeDocument/2006/relationships/hyperlink" Target="http://www.plants.usda.gov/java/profile?symbol=MUCU2" TargetMode="External"/><Relationship Id="rId1015" Type="http://schemas.openxmlformats.org/officeDocument/2006/relationships/hyperlink" Target="http://www.plants.usda.gov/java/profile?symbol=EUCO8" TargetMode="External"/><Relationship Id="rId1222" Type="http://schemas.openxmlformats.org/officeDocument/2006/relationships/hyperlink" Target="http://www.plants.usda.gov/java/profile?symbol=LAOCC" TargetMode="External"/><Relationship Id="rId1667" Type="http://schemas.openxmlformats.org/officeDocument/2006/relationships/hyperlink" Target="http://www.plants.usda.gov/java/profile?symbol=RARER2" TargetMode="External"/><Relationship Id="rId1874" Type="http://schemas.openxmlformats.org/officeDocument/2006/relationships/hyperlink" Target="http://www.plants.usda.gov/java/profile?symbol=SYLAH7" TargetMode="External"/><Relationship Id="rId2052" Type="http://schemas.openxmlformats.org/officeDocument/2006/relationships/hyperlink" Target="http://www.plants.usda.gov/java/profile?symbol=ACNEN" TargetMode="External"/><Relationship Id="rId2497" Type="http://schemas.openxmlformats.org/officeDocument/2006/relationships/hyperlink" Target="http://www.plants.usda.gov/java/profile?symbol=AMCO2" TargetMode="External"/><Relationship Id="rId469" Type="http://schemas.openxmlformats.org/officeDocument/2006/relationships/hyperlink" Target="http://www.plants.usda.gov/java/profile?symbol=ZIPAI" TargetMode="External"/><Relationship Id="rId676" Type="http://schemas.openxmlformats.org/officeDocument/2006/relationships/hyperlink" Target="http://www.plants.usda.gov/java/profile?symbol=BIDI" TargetMode="External"/><Relationship Id="rId883" Type="http://schemas.openxmlformats.org/officeDocument/2006/relationships/hyperlink" Target="http://www.plants.usda.gov/java/profile?symbol=CYPAP3" TargetMode="External"/><Relationship Id="rId1099" Type="http://schemas.openxmlformats.org/officeDocument/2006/relationships/hyperlink" Target="http://www.plants.usda.gov/java/profile?symbol=GYJEP" TargetMode="External"/><Relationship Id="rId1527" Type="http://schemas.openxmlformats.org/officeDocument/2006/relationships/hyperlink" Target="http://www.plants.usda.gov/java/profile?symbol=PIPUP" TargetMode="External"/><Relationship Id="rId1734" Type="http://schemas.openxmlformats.org/officeDocument/2006/relationships/hyperlink" Target="http://www.plants.usda.gov/java/profile?symbol=SCMA2" TargetMode="External"/><Relationship Id="rId1941" Type="http://schemas.openxmlformats.org/officeDocument/2006/relationships/hyperlink" Target="http://www.plants.usda.gov/java/profile?symbol=TYGL" TargetMode="External"/><Relationship Id="rId2357" Type="http://schemas.openxmlformats.org/officeDocument/2006/relationships/hyperlink" Target="http://www.plants.usda.gov/java/profile?symbol=RHGL" TargetMode="External"/><Relationship Id="rId2564" Type="http://schemas.openxmlformats.org/officeDocument/2006/relationships/hyperlink" Target="http://www.plants.usda.gov/java/profile?symbol=ROSET" TargetMode="External"/><Relationship Id="rId26" Type="http://schemas.openxmlformats.org/officeDocument/2006/relationships/hyperlink" Target="http://www.plants.usda.gov/java/profile?symbol=BOCU" TargetMode="External"/><Relationship Id="rId231" Type="http://schemas.openxmlformats.org/officeDocument/2006/relationships/hyperlink" Target="http://www.plants.usda.gov/java/profile?symbol=DISC4" TargetMode="External"/><Relationship Id="rId329" Type="http://schemas.openxmlformats.org/officeDocument/2006/relationships/hyperlink" Target="http://www.plants.usda.gov/java/profile?symbol=JUALN" TargetMode="External"/><Relationship Id="rId536" Type="http://schemas.openxmlformats.org/officeDocument/2006/relationships/hyperlink" Target="http://www.plants.usda.gov/java/profile?symbol=AMTU" TargetMode="External"/><Relationship Id="rId1166" Type="http://schemas.openxmlformats.org/officeDocument/2006/relationships/hyperlink" Target="http://www.plants.usda.gov/java/profile?symbol=HIVU2" TargetMode="External"/><Relationship Id="rId1373" Type="http://schemas.openxmlformats.org/officeDocument/2006/relationships/hyperlink" Target="http://www.plants.usda.gov/java/profile?symbol=MOVE" TargetMode="External"/><Relationship Id="rId2217" Type="http://schemas.openxmlformats.org/officeDocument/2006/relationships/hyperlink" Target="http://www.plants.usda.gov/java/profile?symbol=ILVE" TargetMode="External"/><Relationship Id="rId175" Type="http://schemas.openxmlformats.org/officeDocument/2006/relationships/hyperlink" Target="http://www.plants.usda.gov/java/profile?symbol=CATOT" TargetMode="External"/><Relationship Id="rId743" Type="http://schemas.openxmlformats.org/officeDocument/2006/relationships/hyperlink" Target="http://www.plants.usda.gov/java/profile?symbol=CHPR" TargetMode="External"/><Relationship Id="rId950" Type="http://schemas.openxmlformats.org/officeDocument/2006/relationships/hyperlink" Target="http://www.plants.usda.gov/java/profile?symbol=DRTR" TargetMode="External"/><Relationship Id="rId1026" Type="http://schemas.openxmlformats.org/officeDocument/2006/relationships/hyperlink" Target="http://www.plants.usda.gov/java/profile?symbol=EUGR5" TargetMode="External"/><Relationship Id="rId1580" Type="http://schemas.openxmlformats.org/officeDocument/2006/relationships/hyperlink" Target="http://www.plants.usda.gov/java/profile?symbol=POPUP4" TargetMode="External"/><Relationship Id="rId1678" Type="http://schemas.openxmlformats.org/officeDocument/2006/relationships/hyperlink" Target="http://www.plants.usda.gov/java/profile?symbol=ROPAF2" TargetMode="External"/><Relationship Id="rId1801" Type="http://schemas.openxmlformats.org/officeDocument/2006/relationships/hyperlink" Target="http://www.plants.usda.gov/java/profile?symbol=SOMIF" TargetMode="External"/><Relationship Id="rId1885" Type="http://schemas.openxmlformats.org/officeDocument/2006/relationships/hyperlink" Target="http://www.plants.usda.gov/java/profile?symbol=SYPA10" TargetMode="External"/><Relationship Id="rId2424" Type="http://schemas.openxmlformats.org/officeDocument/2006/relationships/hyperlink" Target="http://www.plants.usda.gov/java/profile?symbol=SACA4" TargetMode="External"/><Relationship Id="rId382" Type="http://schemas.openxmlformats.org/officeDocument/2006/relationships/hyperlink" Target="http://www.plants.usda.gov/java/profile?symbol=NAVI4" TargetMode="External"/><Relationship Id="rId603" Type="http://schemas.openxmlformats.org/officeDocument/2006/relationships/hyperlink" Target="http://www.plants.usda.gov/java/profile?symbol=ARRE6" TargetMode="External"/><Relationship Id="rId687" Type="http://schemas.openxmlformats.org/officeDocument/2006/relationships/hyperlink" Target="http://www.plants.usda.gov/java/profile?symbol=BODE2" TargetMode="External"/><Relationship Id="rId810" Type="http://schemas.openxmlformats.org/officeDocument/2006/relationships/hyperlink" Target="http://www.plants.usda.gov/java/profile?symbol=COUMU" TargetMode="External"/><Relationship Id="rId908" Type="http://schemas.openxmlformats.org/officeDocument/2006/relationships/hyperlink" Target="http://www.plants.usda.gov/java/profile?symbol=DEPI" TargetMode="External"/><Relationship Id="rId1233" Type="http://schemas.openxmlformats.org/officeDocument/2006/relationships/hyperlink" Target="http://www.plants.usda.gov/java/profile?symbol=LEAE2" TargetMode="External"/><Relationship Id="rId1440" Type="http://schemas.openxmlformats.org/officeDocument/2006/relationships/hyperlink" Target="http://www.plants.usda.gov/java/profile?symbol=OSCI" TargetMode="External"/><Relationship Id="rId1538" Type="http://schemas.openxmlformats.org/officeDocument/2006/relationships/hyperlink" Target="http://www.plants.usda.gov/java/profile?symbol=PLDID" TargetMode="External"/><Relationship Id="rId2063" Type="http://schemas.openxmlformats.org/officeDocument/2006/relationships/hyperlink" Target="http://www.plants.usda.gov/java/profile?symbol=AEGLG" TargetMode="External"/><Relationship Id="rId2270" Type="http://schemas.openxmlformats.org/officeDocument/2006/relationships/hyperlink" Target="http://www.plants.usda.gov/java/profile?symbol=PHPA29" TargetMode="External"/><Relationship Id="rId2368" Type="http://schemas.openxmlformats.org/officeDocument/2006/relationships/hyperlink" Target="http://www.plants.usda.gov/java/profile?symbol=RIMI" TargetMode="External"/><Relationship Id="rId242" Type="http://schemas.openxmlformats.org/officeDocument/2006/relationships/hyperlink" Target="http://www.plants.usda.gov/java/profile?symbol=DISP" TargetMode="External"/><Relationship Id="rId894" Type="http://schemas.openxmlformats.org/officeDocument/2006/relationships/hyperlink" Target="http://www.plants.usda.gov/java/profile?symbol=DACAO" TargetMode="External"/><Relationship Id="rId1177" Type="http://schemas.openxmlformats.org/officeDocument/2006/relationships/hyperlink" Target="http://www.plants.usda.gov/java/profile?symbol=HYCA" TargetMode="External"/><Relationship Id="rId1300" Type="http://schemas.openxmlformats.org/officeDocument/2006/relationships/hyperlink" Target="http://www.plants.usda.gov/java/profile?symbol=LOFO" TargetMode="External"/><Relationship Id="rId1745" Type="http://schemas.openxmlformats.org/officeDocument/2006/relationships/hyperlink" Target="http://www.plants.usda.gov/java/profile?symbol=SCPAP3" TargetMode="External"/><Relationship Id="rId1952" Type="http://schemas.openxmlformats.org/officeDocument/2006/relationships/hyperlink" Target="http://www.plants.usda.gov/java/profile?symbol=VAED" TargetMode="External"/><Relationship Id="rId2130" Type="http://schemas.openxmlformats.org/officeDocument/2006/relationships/hyperlink" Target="http://www.plants.usda.gov/java/profile?symbol=CECA4" TargetMode="External"/><Relationship Id="rId2575" Type="http://schemas.openxmlformats.org/officeDocument/2006/relationships/hyperlink" Target="http://www.plants.usda.gov/java/profile?symbol=STPIP2" TargetMode="External"/><Relationship Id="rId37" Type="http://schemas.openxmlformats.org/officeDocument/2006/relationships/hyperlink" Target="http://www.plants.usda.gov/java/profile?symbol=BRKA2" TargetMode="External"/><Relationship Id="rId102" Type="http://schemas.openxmlformats.org/officeDocument/2006/relationships/hyperlink" Target="http://www.plants.usda.gov/java/profile?symbol=CAGRG2" TargetMode="External"/><Relationship Id="rId547" Type="http://schemas.openxmlformats.org/officeDocument/2006/relationships/hyperlink" Target="http://www.plants.usda.gov/java/profile?symbol=AMDR" TargetMode="External"/><Relationship Id="rId754" Type="http://schemas.openxmlformats.org/officeDocument/2006/relationships/hyperlink" Target="http://www.plants.usda.gov/java/profile?symbol=CHSE4" TargetMode="External"/><Relationship Id="rId961" Type="http://schemas.openxmlformats.org/officeDocument/2006/relationships/hyperlink" Target="http://www.plants.usda.gov/java/profile?symbol=ELRU" TargetMode="External"/><Relationship Id="rId1384" Type="http://schemas.openxmlformats.org/officeDocument/2006/relationships/hyperlink" Target="http://www.plants.usda.gov/java/profile?symbol=MONU" TargetMode="External"/><Relationship Id="rId1591" Type="http://schemas.openxmlformats.org/officeDocument/2006/relationships/hyperlink" Target="http://www.plants.usda.gov/java/profile?symbol=POAC4" TargetMode="External"/><Relationship Id="rId1605" Type="http://schemas.openxmlformats.org/officeDocument/2006/relationships/hyperlink" Target="http://www.plants.usda.gov/java/profile?symbol=PONO2" TargetMode="External"/><Relationship Id="rId1689" Type="http://schemas.openxmlformats.org/officeDocument/2006/relationships/hyperlink" Target="http://www.plants.usda.gov/java/profile?symbol=RUSU" TargetMode="External"/><Relationship Id="rId1812" Type="http://schemas.openxmlformats.org/officeDocument/2006/relationships/hyperlink" Target="http://www.plants.usda.gov/java/profile?symbol=SOSPR" TargetMode="External"/><Relationship Id="rId2228" Type="http://schemas.openxmlformats.org/officeDocument/2006/relationships/hyperlink" Target="http://www.plants.usda.gov/java/profile?symbol=LIBOA" TargetMode="External"/><Relationship Id="rId2435" Type="http://schemas.openxmlformats.org/officeDocument/2006/relationships/hyperlink" Target="http://www.plants.usda.gov/java/profile?symbol=SAPE2" TargetMode="External"/><Relationship Id="rId90" Type="http://schemas.openxmlformats.org/officeDocument/2006/relationships/hyperlink" Target="http://www.plants.usda.gov/java/profile?symbol=CADU6" TargetMode="External"/><Relationship Id="rId186" Type="http://schemas.openxmlformats.org/officeDocument/2006/relationships/hyperlink" Target="http://www.plants.usda.gov/java/profile?symbol=CAVUV" TargetMode="External"/><Relationship Id="rId393" Type="http://schemas.openxmlformats.org/officeDocument/2006/relationships/hyperlink" Target="http://www.plants.usda.gov/java/profile?symbol=PAVI2" TargetMode="External"/><Relationship Id="rId407" Type="http://schemas.openxmlformats.org/officeDocument/2006/relationships/hyperlink" Target="http://www.plants.usda.gov/java/profile?symbol=POPRP2" TargetMode="External"/><Relationship Id="rId614" Type="http://schemas.openxmlformats.org/officeDocument/2006/relationships/hyperlink" Target="http://www.plants.usda.gov/java/profile?symbol=ASCA" TargetMode="External"/><Relationship Id="rId821" Type="http://schemas.openxmlformats.org/officeDocument/2006/relationships/hyperlink" Target="http://www.plants.usda.gov/java/profile?symbol=COMAM7" TargetMode="External"/><Relationship Id="rId1037" Type="http://schemas.openxmlformats.org/officeDocument/2006/relationships/hyperlink" Target="http://www.plants.usda.gov/java/profile?symbol=FRFL" TargetMode="External"/><Relationship Id="rId1244" Type="http://schemas.openxmlformats.org/officeDocument/2006/relationships/hyperlink" Target="http://www.plants.usda.gov/java/profile?symbol=LELE5" TargetMode="External"/><Relationship Id="rId1451" Type="http://schemas.openxmlformats.org/officeDocument/2006/relationships/hyperlink" Target="http://www.plants.usda.gov/java/profile?symbol=OXLA3" TargetMode="External"/><Relationship Id="rId1896" Type="http://schemas.openxmlformats.org/officeDocument/2006/relationships/hyperlink" Target="http://www.plants.usda.gov/java/profile?symbol=SYSH" TargetMode="External"/><Relationship Id="rId2074" Type="http://schemas.openxmlformats.org/officeDocument/2006/relationships/hyperlink" Target="http://www.plants.usda.gov/java/profile?symbol=AMALA" TargetMode="External"/><Relationship Id="rId2281" Type="http://schemas.openxmlformats.org/officeDocument/2006/relationships/hyperlink" Target="http://www.plants.usda.gov/java/profile?symbol=PHSUS2" TargetMode="External"/><Relationship Id="rId2502" Type="http://schemas.openxmlformats.org/officeDocument/2006/relationships/hyperlink" Target="http://www.plants.usda.gov/java/profile?symbol=CAMA23" TargetMode="External"/><Relationship Id="rId253" Type="http://schemas.openxmlformats.org/officeDocument/2006/relationships/hyperlink" Target="http://www.plants.usda.gov/java/profile?symbol=ELCOC2" TargetMode="External"/><Relationship Id="rId460" Type="http://schemas.openxmlformats.org/officeDocument/2006/relationships/hyperlink" Target="http://www.plants.usda.gov/java/profile?symbol=TRDA3" TargetMode="External"/><Relationship Id="rId698" Type="http://schemas.openxmlformats.org/officeDocument/2006/relationships/hyperlink" Target="http://www.plants.usda.gov/java/profile?symbol=CAAL" TargetMode="External"/><Relationship Id="rId919" Type="http://schemas.openxmlformats.org/officeDocument/2006/relationships/hyperlink" Target="http://www.plants.usda.gov/java/profile?symbol=DENU4" TargetMode="External"/><Relationship Id="rId1090" Type="http://schemas.openxmlformats.org/officeDocument/2006/relationships/hyperlink" Target="http://www.plants.usda.gov/java/profile?symbol=GRVI" TargetMode="External"/><Relationship Id="rId1104" Type="http://schemas.openxmlformats.org/officeDocument/2006/relationships/hyperlink" Target="http://www.plants.usda.gov/java/profile?symbol=HASU3" TargetMode="External"/><Relationship Id="rId1311" Type="http://schemas.openxmlformats.org/officeDocument/2006/relationships/hyperlink" Target="http://www.plants.usda.gov/java/profile?symbol=LUPE3" TargetMode="External"/><Relationship Id="rId1549" Type="http://schemas.openxmlformats.org/officeDocument/2006/relationships/hyperlink" Target="http://www.plants.usda.gov/java/profile?symbol=PODOD" TargetMode="External"/><Relationship Id="rId1756" Type="http://schemas.openxmlformats.org/officeDocument/2006/relationships/hyperlink" Target="http://www.plants.usda.gov/java/profile?symbol=SIAN" TargetMode="External"/><Relationship Id="rId1963" Type="http://schemas.openxmlformats.org/officeDocument/2006/relationships/hyperlink" Target="http://www.plants.usda.gov/java/profile?symbol=VEHAS" TargetMode="External"/><Relationship Id="rId2141" Type="http://schemas.openxmlformats.org/officeDocument/2006/relationships/hyperlink" Target="http://www.plants.usda.gov/java/profile?symbol=COCA13" TargetMode="External"/><Relationship Id="rId2379" Type="http://schemas.openxmlformats.org/officeDocument/2006/relationships/hyperlink" Target="http://www.plants.usda.gov/java/profile?symbol=ROCA4" TargetMode="External"/><Relationship Id="rId2586" Type="http://schemas.openxmlformats.org/officeDocument/2006/relationships/hyperlink" Target="http://www.plants.usda.gov/java/profile?symbol=VICIC2" TargetMode="External"/><Relationship Id="rId48" Type="http://schemas.openxmlformats.org/officeDocument/2006/relationships/hyperlink" Target="http://www.plants.usda.gov/java/profile?symbol=CASTI3" TargetMode="External"/><Relationship Id="rId113" Type="http://schemas.openxmlformats.org/officeDocument/2006/relationships/hyperlink" Target="http://www.plants.usda.gov/java/profile?symbol=CAINH2" TargetMode="External"/><Relationship Id="rId320" Type="http://schemas.openxmlformats.org/officeDocument/2006/relationships/hyperlink" Target="http://www.plants.usda.gov/java/profile?symbol=HESP11" TargetMode="External"/><Relationship Id="rId558" Type="http://schemas.openxmlformats.org/officeDocument/2006/relationships/hyperlink" Target="http://www.plants.usda.gov/java/profile?symbol=ANQU" TargetMode="External"/><Relationship Id="rId765" Type="http://schemas.openxmlformats.org/officeDocument/2006/relationships/hyperlink" Target="http://www.plants.usda.gov/java/profile?symbol=CHALM2" TargetMode="External"/><Relationship Id="rId972" Type="http://schemas.openxmlformats.org/officeDocument/2006/relationships/hyperlink" Target="http://www.plants.usda.gov/java/profile?symbol=EQAR" TargetMode="External"/><Relationship Id="rId1188" Type="http://schemas.openxmlformats.org/officeDocument/2006/relationships/hyperlink" Target="http://www.plants.usda.gov/java/profile?symbol=HYMA2" TargetMode="External"/><Relationship Id="rId1395" Type="http://schemas.openxmlformats.org/officeDocument/2006/relationships/hyperlink" Target="http://www.plants.usda.gov/java/profile?symbol=NAGR" TargetMode="External"/><Relationship Id="rId1409" Type="http://schemas.openxmlformats.org/officeDocument/2006/relationships/hyperlink" Target="http://www.plants.usda.gov/java/profile?symbol=NYOD" TargetMode="External"/><Relationship Id="rId1616" Type="http://schemas.openxmlformats.org/officeDocument/2006/relationships/hyperlink" Target="http://www.plants.usda.gov/java/profile?symbol=POAR7" TargetMode="External"/><Relationship Id="rId1823" Type="http://schemas.openxmlformats.org/officeDocument/2006/relationships/hyperlink" Target="http://www.plants.usda.gov/java/profile?symbol=SPCO" TargetMode="External"/><Relationship Id="rId2001" Type="http://schemas.openxmlformats.org/officeDocument/2006/relationships/hyperlink" Target="http://www.plants.usda.gov/java/profile?symbol=VIBI" TargetMode="External"/><Relationship Id="rId2239" Type="http://schemas.openxmlformats.org/officeDocument/2006/relationships/hyperlink" Target="http://www.plants.usda.gov/java/profile?symbol=MAPI" TargetMode="External"/><Relationship Id="rId2446" Type="http://schemas.openxmlformats.org/officeDocument/2006/relationships/hyperlink" Target="http://www.plants.usda.gov/java/profile?symbol=SITR3" TargetMode="External"/><Relationship Id="rId197" Type="http://schemas.openxmlformats.org/officeDocument/2006/relationships/hyperlink" Target="http://www.plants.usda.gov/java/profile?symbol=CYER2" TargetMode="External"/><Relationship Id="rId418" Type="http://schemas.openxmlformats.org/officeDocument/2006/relationships/hyperlink" Target="http://www.plants.usda.gov/java/profile?symbol=SCACA" TargetMode="External"/><Relationship Id="rId625" Type="http://schemas.openxmlformats.org/officeDocument/2006/relationships/hyperlink" Target="http://www.plants.usda.gov/java/profile?symbol=ASPU2" TargetMode="External"/><Relationship Id="rId832" Type="http://schemas.openxmlformats.org/officeDocument/2006/relationships/hyperlink" Target="http://www.plants.usda.gov/java/profile?symbol=COAM8" TargetMode="External"/><Relationship Id="rId1048" Type="http://schemas.openxmlformats.org/officeDocument/2006/relationships/hyperlink" Target="http://www.plants.usda.gov/java/profile?symbol=GACO3" TargetMode="External"/><Relationship Id="rId1255" Type="http://schemas.openxmlformats.org/officeDocument/2006/relationships/hyperlink" Target="http://www.plants.usda.gov/java/profile?symbol=LILI" TargetMode="External"/><Relationship Id="rId1462" Type="http://schemas.openxmlformats.org/officeDocument/2006/relationships/hyperlink" Target="http://www.plants.usda.gov/java/profile?symbol=PACA11" TargetMode="External"/><Relationship Id="rId2085" Type="http://schemas.openxmlformats.org/officeDocument/2006/relationships/hyperlink" Target="http://www.plants.usda.gov/java/profile?symbol=AMFR" TargetMode="External"/><Relationship Id="rId2292" Type="http://schemas.openxmlformats.org/officeDocument/2006/relationships/hyperlink" Target="http://www.plants.usda.gov/java/profile?symbol=POBA2" TargetMode="External"/><Relationship Id="rId2306" Type="http://schemas.openxmlformats.org/officeDocument/2006/relationships/hyperlink" Target="http://www.plants.usda.gov/java/profile?symbol=PRME" TargetMode="External"/><Relationship Id="rId2513" Type="http://schemas.openxmlformats.org/officeDocument/2006/relationships/hyperlink" Target="http://www.plants.usda.gov/java/profile?symbol=CLOC2" TargetMode="External"/><Relationship Id="rId264" Type="http://schemas.openxmlformats.org/officeDocument/2006/relationships/hyperlink" Target="http://www.plants.usda.gov/java/profile?symbol=ELPAP" TargetMode="External"/><Relationship Id="rId471" Type="http://schemas.openxmlformats.org/officeDocument/2006/relationships/hyperlink" Target="http://www.plants.usda.gov/about_adv_search.html" TargetMode="External"/><Relationship Id="rId1115" Type="http://schemas.openxmlformats.org/officeDocument/2006/relationships/hyperlink" Target="http://www.plants.usda.gov/java/profile?symbol=HEDI2" TargetMode="External"/><Relationship Id="rId1322" Type="http://schemas.openxmlformats.org/officeDocument/2006/relationships/hyperlink" Target="http://www.plants.usda.gov/java/profile?symbol=LYUNU2" TargetMode="External"/><Relationship Id="rId1767" Type="http://schemas.openxmlformats.org/officeDocument/2006/relationships/hyperlink" Target="http://www.plants.usda.gov/java/profile?symbol=SILA3" TargetMode="External"/><Relationship Id="rId1974" Type="http://schemas.openxmlformats.org/officeDocument/2006/relationships/hyperlink" Target="http://www.plants.usda.gov/java/profile?symbol=VEEN" TargetMode="External"/><Relationship Id="rId2152" Type="http://schemas.openxmlformats.org/officeDocument/2006/relationships/hyperlink" Target="http://www.plants.usda.gov/java/profile?symbol=CRCH" TargetMode="External"/><Relationship Id="rId59" Type="http://schemas.openxmlformats.org/officeDocument/2006/relationships/hyperlink" Target="http://www.plants.usda.gov/java/profile?symbol=CAAQA" TargetMode="External"/><Relationship Id="rId124" Type="http://schemas.openxmlformats.org/officeDocument/2006/relationships/hyperlink" Target="http://www.plants.usda.gov/java/profile?symbol=CALAL4" TargetMode="External"/><Relationship Id="rId569" Type="http://schemas.openxmlformats.org/officeDocument/2006/relationships/hyperlink" Target="http://www.plants.usda.gov/java/profile?symbol=ANPAP" TargetMode="External"/><Relationship Id="rId776" Type="http://schemas.openxmlformats.org/officeDocument/2006/relationships/hyperlink" Target="http://www.plants.usda.gov/java/profile?symbol=CHSA2" TargetMode="External"/><Relationship Id="rId983" Type="http://schemas.openxmlformats.org/officeDocument/2006/relationships/hyperlink" Target="http://www.plants.usda.gov/java/profile?symbol=ERHIH" TargetMode="External"/><Relationship Id="rId1199" Type="http://schemas.openxmlformats.org/officeDocument/2006/relationships/hyperlink" Target="http://www.plants.usda.gov/java/profile?symbol=IPLA" TargetMode="External"/><Relationship Id="rId1627" Type="http://schemas.openxmlformats.org/officeDocument/2006/relationships/hyperlink" Target="http://www.plants.usda.gov/java/profile?symbol=PRAL2" TargetMode="External"/><Relationship Id="rId1834" Type="http://schemas.openxmlformats.org/officeDocument/2006/relationships/hyperlink" Target="http://www.plants.usda.gov/java/profile?symbol=SPVE" TargetMode="External"/><Relationship Id="rId2457" Type="http://schemas.openxmlformats.org/officeDocument/2006/relationships/hyperlink" Target="http://www.plants.usda.gov/java/profile?symbol=STTR" TargetMode="External"/><Relationship Id="rId331" Type="http://schemas.openxmlformats.org/officeDocument/2006/relationships/hyperlink" Target="http://www.plants.usda.gov/java/profile?symbol=JUAR2" TargetMode="External"/><Relationship Id="rId429" Type="http://schemas.openxmlformats.org/officeDocument/2006/relationships/hyperlink" Target="http://www.plants.usda.gov/java/profile?symbol=SCTO3" TargetMode="External"/><Relationship Id="rId636" Type="http://schemas.openxmlformats.org/officeDocument/2006/relationships/hyperlink" Target="http://www.plants.usda.gov/java/profile?symbol=ASPLP" TargetMode="External"/><Relationship Id="rId1059" Type="http://schemas.openxmlformats.org/officeDocument/2006/relationships/hyperlink" Target="http://www.plants.usda.gov/java/profile?symbol=GALO3" TargetMode="External"/><Relationship Id="rId1266" Type="http://schemas.openxmlformats.org/officeDocument/2006/relationships/hyperlink" Target="http://www.plants.usda.gov/java/profile?symbol=LIPH" TargetMode="External"/><Relationship Id="rId1473" Type="http://schemas.openxmlformats.org/officeDocument/2006/relationships/hyperlink" Target="http://www.plants.usda.gov/java/profile?symbol=PEGL" TargetMode="External"/><Relationship Id="rId2012" Type="http://schemas.openxmlformats.org/officeDocument/2006/relationships/hyperlink" Target="http://www.plants.usda.gov/java/profile?symbol=VINE" TargetMode="External"/><Relationship Id="rId2096" Type="http://schemas.openxmlformats.org/officeDocument/2006/relationships/hyperlink" Target="http://www.plants.usda.gov/java/profile?symbol=ASST" TargetMode="External"/><Relationship Id="rId2317" Type="http://schemas.openxmlformats.org/officeDocument/2006/relationships/hyperlink" Target="http://www.plants.usda.gov/java/profile?symbol=PTTR" TargetMode="External"/><Relationship Id="rId843" Type="http://schemas.openxmlformats.org/officeDocument/2006/relationships/hyperlink" Target="http://www.plants.usda.gov/java/profile?symbol=CRRU3" TargetMode="External"/><Relationship Id="rId1126" Type="http://schemas.openxmlformats.org/officeDocument/2006/relationships/hyperlink" Target="http://www.plants.usda.gov/java/profile?symbol=HEOC2" TargetMode="External"/><Relationship Id="rId1680" Type="http://schemas.openxmlformats.org/officeDocument/2006/relationships/hyperlink" Target="http://www.plants.usda.gov/java/profile?symbol=ROSE" TargetMode="External"/><Relationship Id="rId1778" Type="http://schemas.openxmlformats.org/officeDocument/2006/relationships/hyperlink" Target="http://www.plants.usda.gov/java/profile?symbol=SMEC" TargetMode="External"/><Relationship Id="rId1901" Type="http://schemas.openxmlformats.org/officeDocument/2006/relationships/hyperlink" Target="http://www.plants.usda.gov/java/profile?symbol=TAIN" TargetMode="External"/><Relationship Id="rId1985" Type="http://schemas.openxmlformats.org/officeDocument/2006/relationships/hyperlink" Target="http://www.plants.usda.gov/java/profile?symbol=VEGIG" TargetMode="External"/><Relationship Id="rId2524" Type="http://schemas.openxmlformats.org/officeDocument/2006/relationships/hyperlink" Target="http://www.plants.usda.gov/java/profile?symbol=CUCU2" TargetMode="External"/><Relationship Id="rId275" Type="http://schemas.openxmlformats.org/officeDocument/2006/relationships/hyperlink" Target="http://www.plants.usda.gov/java/profile?symbol=ELHY" TargetMode="External"/><Relationship Id="rId482" Type="http://schemas.openxmlformats.org/officeDocument/2006/relationships/hyperlink" Target="http://www.plants.usda.gov/java/profile?symbol=ACNO2" TargetMode="External"/><Relationship Id="rId703" Type="http://schemas.openxmlformats.org/officeDocument/2006/relationships/hyperlink" Target="http://www.plants.usda.gov/java/profile?symbol=CAHE3" TargetMode="External"/><Relationship Id="rId910" Type="http://schemas.openxmlformats.org/officeDocument/2006/relationships/hyperlink" Target="http://www.plants.usda.gov/java/profile?symbol=DEIL" TargetMode="External"/><Relationship Id="rId1333" Type="http://schemas.openxmlformats.org/officeDocument/2006/relationships/hyperlink" Target="http://www.plants.usda.gov/java/profile?symbol=MACA2" TargetMode="External"/><Relationship Id="rId1540" Type="http://schemas.openxmlformats.org/officeDocument/2006/relationships/hyperlink" Target="http://www.plants.usda.gov/java/profile?symbol=PLFLH" TargetMode="External"/><Relationship Id="rId1638" Type="http://schemas.openxmlformats.org/officeDocument/2006/relationships/hyperlink" Target="http://www.plants.usda.gov/java/profile?symbol=PRVUL2" TargetMode="External"/><Relationship Id="rId2163" Type="http://schemas.openxmlformats.org/officeDocument/2006/relationships/hyperlink" Target="http://www.plants.usda.gov/java/profile?symbol=CRGL2" TargetMode="External"/><Relationship Id="rId2370" Type="http://schemas.openxmlformats.org/officeDocument/2006/relationships/hyperlink" Target="http://www.plants.usda.gov/java/profile?symbol=ROHIF8" TargetMode="External"/><Relationship Id="rId135" Type="http://schemas.openxmlformats.org/officeDocument/2006/relationships/hyperlink" Target="http://www.plants.usda.gov/java/profile?symbol=CAMO11" TargetMode="External"/><Relationship Id="rId342" Type="http://schemas.openxmlformats.org/officeDocument/2006/relationships/hyperlink" Target="http://www.plants.usda.gov/java/profile?symbol=JUMA4" TargetMode="External"/><Relationship Id="rId787" Type="http://schemas.openxmlformats.org/officeDocument/2006/relationships/hyperlink" Target="http://www.plants.usda.gov/java/profile?symbol=CIAL" TargetMode="External"/><Relationship Id="rId994" Type="http://schemas.openxmlformats.org/officeDocument/2006/relationships/hyperlink" Target="http://www.plants.usda.gov/java/profile?symbol=ERCA14" TargetMode="External"/><Relationship Id="rId1400" Type="http://schemas.openxmlformats.org/officeDocument/2006/relationships/hyperlink" Target="http://www.plants.usda.gov/java/profile?symbol=NADI2" TargetMode="External"/><Relationship Id="rId1845" Type="http://schemas.openxmlformats.org/officeDocument/2006/relationships/hyperlink" Target="http://www.plants.usda.gov/java/profile?symbol=STLA16" TargetMode="External"/><Relationship Id="rId2023" Type="http://schemas.openxmlformats.org/officeDocument/2006/relationships/hyperlink" Target="http://www.plants.usda.gov/java/profile?symbol=VISO" TargetMode="External"/><Relationship Id="rId2230" Type="http://schemas.openxmlformats.org/officeDocument/2006/relationships/hyperlink" Target="http://www.plants.usda.gov/java/profile?symbol=LITU" TargetMode="External"/><Relationship Id="rId2468" Type="http://schemas.openxmlformats.org/officeDocument/2006/relationships/hyperlink" Target="http://www.plants.usda.gov/java/profile?symbol=SYTU2" TargetMode="External"/><Relationship Id="rId202" Type="http://schemas.openxmlformats.org/officeDocument/2006/relationships/hyperlink" Target="http://www.plants.usda.gov/java/profile?symbol=CYOD" TargetMode="External"/><Relationship Id="rId647" Type="http://schemas.openxmlformats.org/officeDocument/2006/relationships/hyperlink" Target="http://www.plants.usda.gov/java/profile?symbol=ASLA27" TargetMode="External"/><Relationship Id="rId854" Type="http://schemas.openxmlformats.org/officeDocument/2006/relationships/hyperlink" Target="http://www.plants.usda.gov/java/profile?symbol=CRWI5" TargetMode="External"/><Relationship Id="rId1277" Type="http://schemas.openxmlformats.org/officeDocument/2006/relationships/hyperlink" Target="http://www.plants.usda.gov/java/profile?symbol=LIRI" TargetMode="External"/><Relationship Id="rId1484" Type="http://schemas.openxmlformats.org/officeDocument/2006/relationships/hyperlink" Target="http://www.plants.usda.gov/java/profile?symbol=PETUT" TargetMode="External"/><Relationship Id="rId1691" Type="http://schemas.openxmlformats.org/officeDocument/2006/relationships/hyperlink" Target="http://www.plants.usda.gov/java/profile?symbol=RUTRT" TargetMode="External"/><Relationship Id="rId1705" Type="http://schemas.openxmlformats.org/officeDocument/2006/relationships/hyperlink" Target="http://www.plants.usda.gov/java/profile?symbol=RUCI2" TargetMode="External"/><Relationship Id="rId1912" Type="http://schemas.openxmlformats.org/officeDocument/2006/relationships/hyperlink" Target="http://www.plants.usda.gov/java/profile?symbol=THPA" TargetMode="External"/><Relationship Id="rId2328" Type="http://schemas.openxmlformats.org/officeDocument/2006/relationships/hyperlink" Target="http://www.plants.usda.gov/java/profile?symbol=QUEL" TargetMode="External"/><Relationship Id="rId2535" Type="http://schemas.openxmlformats.org/officeDocument/2006/relationships/hyperlink" Target="http://www.plants.usda.gov/java/profile?symbol=DIVI4" TargetMode="External"/><Relationship Id="rId286" Type="http://schemas.openxmlformats.org/officeDocument/2006/relationships/hyperlink" Target="http://www.plants.usda.gov/java/profile?symbol=ELVIV" TargetMode="External"/><Relationship Id="rId493" Type="http://schemas.openxmlformats.org/officeDocument/2006/relationships/hyperlink" Target="http://www.plants.usda.gov/java/profile?symbol=AGAS2" TargetMode="External"/><Relationship Id="rId507" Type="http://schemas.openxmlformats.org/officeDocument/2006/relationships/hyperlink" Target="http://www.plants.usda.gov/java/profile?symbol=AGAL5" TargetMode="External"/><Relationship Id="rId714" Type="http://schemas.openxmlformats.org/officeDocument/2006/relationships/hyperlink" Target="http://www.plants.usda.gov/java/profile?symbol=CASEA3" TargetMode="External"/><Relationship Id="rId921" Type="http://schemas.openxmlformats.org/officeDocument/2006/relationships/hyperlink" Target="http://www.plants.usda.gov/java/profile?symbol=DEPAP2" TargetMode="External"/><Relationship Id="rId1137" Type="http://schemas.openxmlformats.org/officeDocument/2006/relationships/hyperlink" Target="http://www.plants.usda.gov/java/profile?symbol=HEHES" TargetMode="External"/><Relationship Id="rId1344" Type="http://schemas.openxmlformats.org/officeDocument/2006/relationships/hyperlink" Target="http://www.plants.usda.gov/java/profile?symbol=MARAR" TargetMode="External"/><Relationship Id="rId1551" Type="http://schemas.openxmlformats.org/officeDocument/2006/relationships/hyperlink" Target="http://www.plants.usda.gov/java/profile?symbol=POJA3" TargetMode="External"/><Relationship Id="rId1789" Type="http://schemas.openxmlformats.org/officeDocument/2006/relationships/hyperlink" Target="http://www.plants.usda.gov/java/profile?symbol=SORO" TargetMode="External"/><Relationship Id="rId1996" Type="http://schemas.openxmlformats.org/officeDocument/2006/relationships/hyperlink" Target="http://www.plants.usda.gov/java/profile?symbol=VIAMA3" TargetMode="External"/><Relationship Id="rId2174" Type="http://schemas.openxmlformats.org/officeDocument/2006/relationships/hyperlink" Target="http://www.plants.usda.gov/java/profile?symbol=DAWR2" TargetMode="External"/><Relationship Id="rId2381" Type="http://schemas.openxmlformats.org/officeDocument/2006/relationships/hyperlink" Target="http://www.plants.usda.gov/java/profile?symbol=RODU" TargetMode="External"/><Relationship Id="rId50" Type="http://schemas.openxmlformats.org/officeDocument/2006/relationships/hyperlink" Target="http://www.plants.usda.gov/java/profile?symbol=CALOL2" TargetMode="External"/><Relationship Id="rId146" Type="http://schemas.openxmlformats.org/officeDocument/2006/relationships/hyperlink" Target="http://www.plants.usda.gov/java/profile?symbol=CAPE42" TargetMode="External"/><Relationship Id="rId353" Type="http://schemas.openxmlformats.org/officeDocument/2006/relationships/hyperlink" Target="http://www.plants.usda.gov/java/profile?symbol=LEFU21" TargetMode="External"/><Relationship Id="rId560" Type="http://schemas.openxmlformats.org/officeDocument/2006/relationships/hyperlink" Target="http://www.plants.usda.gov/java/profile?symbol=ANVI3" TargetMode="External"/><Relationship Id="rId798" Type="http://schemas.openxmlformats.org/officeDocument/2006/relationships/hyperlink" Target="http://www.plants.usda.gov/java/profile?symbol=CIMU" TargetMode="External"/><Relationship Id="rId1190" Type="http://schemas.openxmlformats.org/officeDocument/2006/relationships/hyperlink" Target="http://www.plants.usda.gov/java/profile?symbol=HYPU" TargetMode="External"/><Relationship Id="rId1204" Type="http://schemas.openxmlformats.org/officeDocument/2006/relationships/hyperlink" Target="http://www.plants.usda.gov/java/profile?symbol=IVAN2" TargetMode="External"/><Relationship Id="rId1411" Type="http://schemas.openxmlformats.org/officeDocument/2006/relationships/hyperlink" Target="http://www.plants.usda.gov/java/profile?symbol=NYODT" TargetMode="External"/><Relationship Id="rId1649" Type="http://schemas.openxmlformats.org/officeDocument/2006/relationships/hyperlink" Target="http://www.plants.usda.gov/java/profile?symbol=PYVE" TargetMode="External"/><Relationship Id="rId1856" Type="http://schemas.openxmlformats.org/officeDocument/2006/relationships/hyperlink" Target="http://www.plants.usda.gov/java/profile?symbol=SYBO2" TargetMode="External"/><Relationship Id="rId2034" Type="http://schemas.openxmlformats.org/officeDocument/2006/relationships/hyperlink" Target="http://www.plants.usda.gov/java/profile?symbol=WOORC2" TargetMode="External"/><Relationship Id="rId2241" Type="http://schemas.openxmlformats.org/officeDocument/2006/relationships/hyperlink" Target="http://www.plants.usda.gov/java/profile?symbol=MAPIG3" TargetMode="External"/><Relationship Id="rId2479" Type="http://schemas.openxmlformats.org/officeDocument/2006/relationships/hyperlink" Target="http://www.plants.usda.gov/java/profile?symbol=ULRU" TargetMode="External"/><Relationship Id="rId213" Type="http://schemas.openxmlformats.org/officeDocument/2006/relationships/hyperlink" Target="http://www.plants.usda.gov/java/profile?symbol=DICL" TargetMode="External"/><Relationship Id="rId420" Type="http://schemas.openxmlformats.org/officeDocument/2006/relationships/hyperlink" Target="http://www.plants.usda.gov/java/profile?symbol=SCHA9" TargetMode="External"/><Relationship Id="rId658" Type="http://schemas.openxmlformats.org/officeDocument/2006/relationships/hyperlink" Target="http://www.plants.usda.gov/java/profile?symbol=AUPEA" TargetMode="External"/><Relationship Id="rId865" Type="http://schemas.openxmlformats.org/officeDocument/2006/relationships/hyperlink" Target="http://www.plants.usda.gov/java/profile?symbol=CUGR" TargetMode="External"/><Relationship Id="rId1050" Type="http://schemas.openxmlformats.org/officeDocument/2006/relationships/hyperlink" Target="http://www.plants.usda.gov/java/profile?symbol=GAOB" TargetMode="External"/><Relationship Id="rId1288" Type="http://schemas.openxmlformats.org/officeDocument/2006/relationships/hyperlink" Target="http://www.plants.usda.gov/java/profile?symbol=LILA2" TargetMode="External"/><Relationship Id="rId1495" Type="http://schemas.openxmlformats.org/officeDocument/2006/relationships/hyperlink" Target="http://www.plants.usda.gov/java/profile?symbol=PHMA4" TargetMode="External"/><Relationship Id="rId1509" Type="http://schemas.openxmlformats.org/officeDocument/2006/relationships/hyperlink" Target="http://www.plants.usda.gov/java/profile?symbol=PHLO4" TargetMode="External"/><Relationship Id="rId1716" Type="http://schemas.openxmlformats.org/officeDocument/2006/relationships/hyperlink" Target="http://www.plants.usda.gov/java/profile?symbol=SALA2" TargetMode="External"/><Relationship Id="rId1923" Type="http://schemas.openxmlformats.org/officeDocument/2006/relationships/hyperlink" Target="http://www.plants.usda.gov/java/profile?symbol=TROH" TargetMode="External"/><Relationship Id="rId2101" Type="http://schemas.openxmlformats.org/officeDocument/2006/relationships/hyperlink" Target="http://www.plants.usda.gov/java/profile?symbol=BEALA" TargetMode="External"/><Relationship Id="rId2339" Type="http://schemas.openxmlformats.org/officeDocument/2006/relationships/hyperlink" Target="http://www.plants.usda.gov/java/profile?symbol=QUPA" TargetMode="External"/><Relationship Id="rId2546" Type="http://schemas.openxmlformats.org/officeDocument/2006/relationships/hyperlink" Target="http://www.plants.usda.gov/java/profile?symbol=IPLA" TargetMode="External"/><Relationship Id="rId297" Type="http://schemas.openxmlformats.org/officeDocument/2006/relationships/hyperlink" Target="http://www.plants.usda.gov/java/profile?symbol=ERTR3" TargetMode="External"/><Relationship Id="rId518" Type="http://schemas.openxmlformats.org/officeDocument/2006/relationships/hyperlink" Target="http://www.plants.usda.gov/java/profile?symbol=ALBU2" TargetMode="External"/><Relationship Id="rId725" Type="http://schemas.openxmlformats.org/officeDocument/2006/relationships/hyperlink" Target="http://www.plants.usda.gov/java/profile?symbol=CABU3" TargetMode="External"/><Relationship Id="rId932" Type="http://schemas.openxmlformats.org/officeDocument/2006/relationships/hyperlink" Target="http://www.plants.usda.gov/java/profile?symbol=DOAM" TargetMode="External"/><Relationship Id="rId1148" Type="http://schemas.openxmlformats.org/officeDocument/2006/relationships/hyperlink" Target="http://www.plants.usda.gov/java/profile?symbol=HEST3" TargetMode="External"/><Relationship Id="rId1355" Type="http://schemas.openxmlformats.org/officeDocument/2006/relationships/hyperlink" Target="http://www.plants.usda.gov/java/profile?symbol=MEPA" TargetMode="External"/><Relationship Id="rId1562" Type="http://schemas.openxmlformats.org/officeDocument/2006/relationships/hyperlink" Target="http://www.plants.usda.gov/java/profile?symbol=POBI2" TargetMode="External"/><Relationship Id="rId2185" Type="http://schemas.openxmlformats.org/officeDocument/2006/relationships/hyperlink" Target="http://www.plants.usda.gov/java/profile?symbol=EUATA2" TargetMode="External"/><Relationship Id="rId2392" Type="http://schemas.openxmlformats.org/officeDocument/2006/relationships/hyperlink" Target="http://www.plants.usda.gov/java/profile?symbol=RUBE" TargetMode="External"/><Relationship Id="rId2406" Type="http://schemas.openxmlformats.org/officeDocument/2006/relationships/hyperlink" Target="http://www.plants.usda.gov/java/profile?symbol=RUPAP2" TargetMode="External"/><Relationship Id="rId157" Type="http://schemas.openxmlformats.org/officeDocument/2006/relationships/hyperlink" Target="http://www.plants.usda.gov/java/profile?symbol=CASAS5" TargetMode="External"/><Relationship Id="rId364" Type="http://schemas.openxmlformats.org/officeDocument/2006/relationships/hyperlink" Target="http://www.plants.usda.gov/java/profile?symbol=LUMUM2" TargetMode="External"/><Relationship Id="rId1008" Type="http://schemas.openxmlformats.org/officeDocument/2006/relationships/hyperlink" Target="http://www.plants.usda.gov/java/profile?symbol=EUPU10" TargetMode="External"/><Relationship Id="rId1215" Type="http://schemas.openxmlformats.org/officeDocument/2006/relationships/hyperlink" Target="http://www.plants.usda.gov/java/profile?symbol=LAFLF" TargetMode="External"/><Relationship Id="rId1422" Type="http://schemas.openxmlformats.org/officeDocument/2006/relationships/hyperlink" Target="http://www.plants.usda.gov/java/profile?symbol=OEVIV" TargetMode="External"/><Relationship Id="rId1867" Type="http://schemas.openxmlformats.org/officeDocument/2006/relationships/hyperlink" Target="http://www.plants.usda.gov/java/profile?symbol=SYFI4" TargetMode="External"/><Relationship Id="rId2045" Type="http://schemas.openxmlformats.org/officeDocument/2006/relationships/hyperlink" Target="http://www.plants.usda.gov/java/profile?symbol=ZIAP" TargetMode="External"/><Relationship Id="rId61" Type="http://schemas.openxmlformats.org/officeDocument/2006/relationships/hyperlink" Target="http://www.plants.usda.gov/java/profile?symbol=CAAT2" TargetMode="External"/><Relationship Id="rId571" Type="http://schemas.openxmlformats.org/officeDocument/2006/relationships/hyperlink" Target="http://www.plants.usda.gov/java/profile?symbol=APAM" TargetMode="External"/><Relationship Id="rId669" Type="http://schemas.openxmlformats.org/officeDocument/2006/relationships/hyperlink" Target="http://www.plants.usda.gov/java/profile?symbol=BEBU" TargetMode="External"/><Relationship Id="rId876" Type="http://schemas.openxmlformats.org/officeDocument/2006/relationships/hyperlink" Target="http://www.plants.usda.gov/java/profile?symbol=CYVIB" TargetMode="External"/><Relationship Id="rId1299" Type="http://schemas.openxmlformats.org/officeDocument/2006/relationships/hyperlink" Target="http://www.plants.usda.gov/java/profile?symbol=LOSPS4" TargetMode="External"/><Relationship Id="rId1727" Type="http://schemas.openxmlformats.org/officeDocument/2006/relationships/hyperlink" Target="http://www.plants.usda.gov/java/profile?symbol=SAMA2" TargetMode="External"/><Relationship Id="rId1934" Type="http://schemas.openxmlformats.org/officeDocument/2006/relationships/hyperlink" Target="http://www.plants.usda.gov/java/profile?symbol=TRPE4" TargetMode="External"/><Relationship Id="rId2252" Type="http://schemas.openxmlformats.org/officeDocument/2006/relationships/hyperlink" Target="http://www.plants.usda.gov/java/profile?symbol=MOFIM2" TargetMode="External"/><Relationship Id="rId2557" Type="http://schemas.openxmlformats.org/officeDocument/2006/relationships/hyperlink" Target="http://www.plants.usda.gov/java/profile?symbol=PHPO2" TargetMode="External"/><Relationship Id="rId19" Type="http://schemas.openxmlformats.org/officeDocument/2006/relationships/hyperlink" Target="http://www.plants.usda.gov/java/profile?symbol=ARLOL3" TargetMode="External"/><Relationship Id="rId224" Type="http://schemas.openxmlformats.org/officeDocument/2006/relationships/hyperlink" Target="http://www.plants.usda.gov/java/profile?symbol=DIOLS" TargetMode="External"/><Relationship Id="rId431" Type="http://schemas.openxmlformats.org/officeDocument/2006/relationships/hyperlink" Target="http://www.plants.usda.gov/java/profile?symbol=SCAT2" TargetMode="External"/><Relationship Id="rId529" Type="http://schemas.openxmlformats.org/officeDocument/2006/relationships/hyperlink" Target="http://www.plants.usda.gov/java/profile?symbol=ALTR3" TargetMode="External"/><Relationship Id="rId736" Type="http://schemas.openxmlformats.org/officeDocument/2006/relationships/hyperlink" Target="http://www.plants.usda.gov/java/profile?symbol=CEARS2" TargetMode="External"/><Relationship Id="rId1061" Type="http://schemas.openxmlformats.org/officeDocument/2006/relationships/hyperlink" Target="http://www.plants.usda.gov/java/profile?symbol=GEAL4" TargetMode="External"/><Relationship Id="rId1159" Type="http://schemas.openxmlformats.org/officeDocument/2006/relationships/hyperlink" Target="http://www.plants.usda.gov/java/profile?symbol=HIKAF" TargetMode="External"/><Relationship Id="rId1366" Type="http://schemas.openxmlformats.org/officeDocument/2006/relationships/hyperlink" Target="http://www.plants.usda.gov/java/profile?symbol=MIAL4" TargetMode="External"/><Relationship Id="rId2112" Type="http://schemas.openxmlformats.org/officeDocument/2006/relationships/hyperlink" Target="http://www.plants.usda.gov/java/profile?symbol=CACA18" TargetMode="External"/><Relationship Id="rId2196" Type="http://schemas.openxmlformats.org/officeDocument/2006/relationships/hyperlink" Target="http://www.plants.usda.gov/java/profile?symbol=GABO2" TargetMode="External"/><Relationship Id="rId2417" Type="http://schemas.openxmlformats.org/officeDocument/2006/relationships/hyperlink" Target="http://www.plants.usda.gov/java/profile?symbol=RUWH2" TargetMode="External"/><Relationship Id="rId168" Type="http://schemas.openxmlformats.org/officeDocument/2006/relationships/hyperlink" Target="http://www.plants.usda.gov/java/profile?symbol=CASTS3" TargetMode="External"/><Relationship Id="rId943" Type="http://schemas.openxmlformats.org/officeDocument/2006/relationships/hyperlink" Target="http://www.plants.usda.gov/java/profile?symbol=DRROR" TargetMode="External"/><Relationship Id="rId1019" Type="http://schemas.openxmlformats.org/officeDocument/2006/relationships/hyperlink" Target="http://www.plants.usda.gov/java/profile?symbol=EUDED" TargetMode="External"/><Relationship Id="rId1573" Type="http://schemas.openxmlformats.org/officeDocument/2006/relationships/hyperlink" Target="http://www.plants.usda.gov/java/profile?symbol=PODOD4" TargetMode="External"/><Relationship Id="rId1780" Type="http://schemas.openxmlformats.org/officeDocument/2006/relationships/hyperlink" Target="http://www.plants.usda.gov/java/profile?symbol=SMIL" TargetMode="External"/><Relationship Id="rId1878" Type="http://schemas.openxmlformats.org/officeDocument/2006/relationships/hyperlink" Target="http://www.plants.usda.gov/java/profile?symbol=SYLA4" TargetMode="External"/><Relationship Id="rId72" Type="http://schemas.openxmlformats.org/officeDocument/2006/relationships/hyperlink" Target="http://www.plants.usda.gov/java/profile?symbol=CACE" TargetMode="External"/><Relationship Id="rId375" Type="http://schemas.openxmlformats.org/officeDocument/2006/relationships/hyperlink" Target="http://www.plants.usda.gov/java/profile?symbol=MUGL3" TargetMode="External"/><Relationship Id="rId582" Type="http://schemas.openxmlformats.org/officeDocument/2006/relationships/hyperlink" Target="http://www.plants.usda.gov/java/profile?symbol=ARHIP" TargetMode="External"/><Relationship Id="rId803" Type="http://schemas.openxmlformats.org/officeDocument/2006/relationships/hyperlink" Target="http://www.plants.usda.gov/java/profile?symbol=CLHA" TargetMode="External"/><Relationship Id="rId1226" Type="http://schemas.openxmlformats.org/officeDocument/2006/relationships/hyperlink" Target="http://www.plants.usda.gov/java/profile?symbol=LAVE" TargetMode="External"/><Relationship Id="rId1433" Type="http://schemas.openxmlformats.org/officeDocument/2006/relationships/hyperlink" Target="http://www.plants.usda.gov/java/profile?symbol=ORON" TargetMode="External"/><Relationship Id="rId1640" Type="http://schemas.openxmlformats.org/officeDocument/2006/relationships/hyperlink" Target="http://www.plants.usda.gov/java/profile?symbol=PSOB3" TargetMode="External"/><Relationship Id="rId1738" Type="http://schemas.openxmlformats.org/officeDocument/2006/relationships/hyperlink" Target="http://www.plants.usda.gov/java/profile?symbol=SCLA2" TargetMode="External"/><Relationship Id="rId2056" Type="http://schemas.openxmlformats.org/officeDocument/2006/relationships/hyperlink" Target="http://www.plants.usda.gov/java/profile?symbol=ACRUR" TargetMode="External"/><Relationship Id="rId2263" Type="http://schemas.openxmlformats.org/officeDocument/2006/relationships/hyperlink" Target="http://www.plants.usda.gov/java/profile?symbol=ORSE" TargetMode="External"/><Relationship Id="rId2470" Type="http://schemas.openxmlformats.org/officeDocument/2006/relationships/hyperlink" Target="http://www.plants.usda.gov/java/profile?symbol=TEVI" TargetMode="External"/><Relationship Id="rId3" Type="http://schemas.openxmlformats.org/officeDocument/2006/relationships/hyperlink" Target="http://www.plants.usda.gov/java/profile?symbol=AGHY" TargetMode="External"/><Relationship Id="rId235" Type="http://schemas.openxmlformats.org/officeDocument/2006/relationships/hyperlink" Target="http://www.plants.usda.gov/java/profile?symbol=DIWI5" TargetMode="External"/><Relationship Id="rId442" Type="http://schemas.openxmlformats.org/officeDocument/2006/relationships/hyperlink" Target="http://www.plants.usda.gov/java/profile?symbol=SONU2" TargetMode="External"/><Relationship Id="rId887" Type="http://schemas.openxmlformats.org/officeDocument/2006/relationships/hyperlink" Target="http://www.plants.usda.gov/java/profile?symbol=CYLA4" TargetMode="External"/><Relationship Id="rId1072" Type="http://schemas.openxmlformats.org/officeDocument/2006/relationships/hyperlink" Target="http://www.plants.usda.gov/java/profile?symbol=GEVI6" TargetMode="External"/><Relationship Id="rId1500" Type="http://schemas.openxmlformats.org/officeDocument/2006/relationships/hyperlink" Target="http://www.plants.usda.gov/java/profile?symbol=PHPIP2" TargetMode="External"/><Relationship Id="rId1945" Type="http://schemas.openxmlformats.org/officeDocument/2006/relationships/hyperlink" Target="http://www.plants.usda.gov/java/profile?symbol=UTGE" TargetMode="External"/><Relationship Id="rId2123" Type="http://schemas.openxmlformats.org/officeDocument/2006/relationships/hyperlink" Target="http://www.plants.usda.gov/java/profile?symbol=CASE5" TargetMode="External"/><Relationship Id="rId2330" Type="http://schemas.openxmlformats.org/officeDocument/2006/relationships/hyperlink" Target="http://www.plants.usda.gov/java/profile?symbol=QUFE2" TargetMode="External"/><Relationship Id="rId2568" Type="http://schemas.openxmlformats.org/officeDocument/2006/relationships/hyperlink" Target="http://www.plants.usda.gov/java/profile?symbol=SMIL" TargetMode="External"/><Relationship Id="rId302" Type="http://schemas.openxmlformats.org/officeDocument/2006/relationships/hyperlink" Target="http://www.plants.usda.gov/java/profile?symbol=ERVI8" TargetMode="External"/><Relationship Id="rId747" Type="http://schemas.openxmlformats.org/officeDocument/2006/relationships/hyperlink" Target="http://www.plants.usda.gov/java/profile?symbol=CHGE2" TargetMode="External"/><Relationship Id="rId954" Type="http://schemas.openxmlformats.org/officeDocument/2006/relationships/hyperlink" Target="http://www.plants.usda.gov/java/profile?symbol=ECANA" TargetMode="External"/><Relationship Id="rId1377" Type="http://schemas.openxmlformats.org/officeDocument/2006/relationships/hyperlink" Target="http://www.plants.usda.gov/java/profile?symbol=MOFIF" TargetMode="External"/><Relationship Id="rId1584" Type="http://schemas.openxmlformats.org/officeDocument/2006/relationships/hyperlink" Target="http://www.plants.usda.gov/java/profile?symbol=POSC3" TargetMode="External"/><Relationship Id="rId1791" Type="http://schemas.openxmlformats.org/officeDocument/2006/relationships/hyperlink" Target="http://www.plants.usda.gov/java/profile?symbol=SOAL6" TargetMode="External"/><Relationship Id="rId1805" Type="http://schemas.openxmlformats.org/officeDocument/2006/relationships/hyperlink" Target="http://www.plants.usda.gov/java/profile?symbol=SONEL" TargetMode="External"/><Relationship Id="rId2428" Type="http://schemas.openxmlformats.org/officeDocument/2006/relationships/hyperlink" Target="http://www.plants.usda.gov/java/profile?symbol=SAHUH" TargetMode="External"/><Relationship Id="rId83" Type="http://schemas.openxmlformats.org/officeDocument/2006/relationships/hyperlink" Target="http://www.plants.usda.gov/java/profile?symbol=CACR7" TargetMode="External"/><Relationship Id="rId179" Type="http://schemas.openxmlformats.org/officeDocument/2006/relationships/hyperlink" Target="http://www.plants.usda.gov/java/profile?symbol=CATU2" TargetMode="External"/><Relationship Id="rId386" Type="http://schemas.openxmlformats.org/officeDocument/2006/relationships/hyperlink" Target="http://www.plants.usda.gov/java/profile?symbol=PACA6" TargetMode="External"/><Relationship Id="rId593" Type="http://schemas.openxmlformats.org/officeDocument/2006/relationships/hyperlink" Target="http://www.plants.usda.gov/java/profile?symbol=ARME4" TargetMode="External"/><Relationship Id="rId607" Type="http://schemas.openxmlformats.org/officeDocument/2006/relationships/hyperlink" Target="http://www.plants.usda.gov/java/profile?symbol=ARDR4" TargetMode="External"/><Relationship Id="rId814" Type="http://schemas.openxmlformats.org/officeDocument/2006/relationships/hyperlink" Target="http://www.plants.usda.gov/java/profile?symbol=COERD" TargetMode="External"/><Relationship Id="rId1237" Type="http://schemas.openxmlformats.org/officeDocument/2006/relationships/hyperlink" Target="http://www.plants.usda.gov/java/profile?symbol=LETR" TargetMode="External"/><Relationship Id="rId1444" Type="http://schemas.openxmlformats.org/officeDocument/2006/relationships/hyperlink" Target="http://www.plants.usda.gov/java/profile?symbol=OSRES" TargetMode="External"/><Relationship Id="rId1651" Type="http://schemas.openxmlformats.org/officeDocument/2006/relationships/hyperlink" Target="http://www.plants.usda.gov/java/profile?symbol=PYVI" TargetMode="External"/><Relationship Id="rId1889" Type="http://schemas.openxmlformats.org/officeDocument/2006/relationships/hyperlink" Target="http://www.plants.usda.gov/java/profile?symbol=SYPRN" TargetMode="External"/><Relationship Id="rId2067" Type="http://schemas.openxmlformats.org/officeDocument/2006/relationships/hyperlink" Target="http://www.plants.usda.gov/java/profile?symbol=AGSC" TargetMode="External"/><Relationship Id="rId2274" Type="http://schemas.openxmlformats.org/officeDocument/2006/relationships/hyperlink" Target="http://www.plants.usda.gov/java/profile?symbol=PHBIB" TargetMode="External"/><Relationship Id="rId2481" Type="http://schemas.openxmlformats.org/officeDocument/2006/relationships/hyperlink" Target="http://www.plants.usda.gov/java/profile?symbol=VAAN" TargetMode="External"/><Relationship Id="rId246" Type="http://schemas.openxmlformats.org/officeDocument/2006/relationships/hyperlink" Target="http://www.plants.usda.gov/java/profile?symbol=ECMUM" TargetMode="External"/><Relationship Id="rId453" Type="http://schemas.openxmlformats.org/officeDocument/2006/relationships/hyperlink" Target="http://www.plants.usda.gov/java/profile?symbol=SPVA" TargetMode="External"/><Relationship Id="rId660" Type="http://schemas.openxmlformats.org/officeDocument/2006/relationships/hyperlink" Target="http://www.plants.usda.gov/java/profile?symbol=BARO" TargetMode="External"/><Relationship Id="rId898" Type="http://schemas.openxmlformats.org/officeDocument/2006/relationships/hyperlink" Target="http://www.plants.usda.gov/java/profile?symbol=DAPUP" TargetMode="External"/><Relationship Id="rId1083" Type="http://schemas.openxmlformats.org/officeDocument/2006/relationships/hyperlink" Target="http://www.plants.usda.gov/java/profile?symbol=GETR" TargetMode="External"/><Relationship Id="rId1290" Type="http://schemas.openxmlformats.org/officeDocument/2006/relationships/hyperlink" Target="http://www.plants.usda.gov/java/profile?symbol=LOIN" TargetMode="External"/><Relationship Id="rId1304" Type="http://schemas.openxmlformats.org/officeDocument/2006/relationships/hyperlink" Target="http://www.plants.usda.gov/java/profile?symbol=LOUN" TargetMode="External"/><Relationship Id="rId1511" Type="http://schemas.openxmlformats.org/officeDocument/2006/relationships/hyperlink" Target="http://www.plants.usda.gov/java/profile?symbol=PHLOS" TargetMode="External"/><Relationship Id="rId1749" Type="http://schemas.openxmlformats.org/officeDocument/2006/relationships/hyperlink" Target="http://www.plants.usda.gov/java/profile?symbol=SECO2" TargetMode="External"/><Relationship Id="rId1956" Type="http://schemas.openxmlformats.org/officeDocument/2006/relationships/hyperlink" Target="http://www.plants.usda.gov/java/profile?symbol=VEWO3" TargetMode="External"/><Relationship Id="rId2134" Type="http://schemas.openxmlformats.org/officeDocument/2006/relationships/hyperlink" Target="http://www.plants.usda.gov/java/profile?symbol=CHUMC2" TargetMode="External"/><Relationship Id="rId2341" Type="http://schemas.openxmlformats.org/officeDocument/2006/relationships/hyperlink" Target="http://www.plants.usda.gov/java/profile?symbol=QUPR" TargetMode="External"/><Relationship Id="rId2579" Type="http://schemas.openxmlformats.org/officeDocument/2006/relationships/hyperlink" Target="http://www.plants.usda.gov/java/profile?symbol=VIAM" TargetMode="External"/><Relationship Id="rId106" Type="http://schemas.openxmlformats.org/officeDocument/2006/relationships/hyperlink" Target="http://www.plants.usda.gov/java/profile?symbol=CAHA7" TargetMode="External"/><Relationship Id="rId313" Type="http://schemas.openxmlformats.org/officeDocument/2006/relationships/hyperlink" Target="http://www.plants.usda.gov/java/profile?symbol=GLBO" TargetMode="External"/><Relationship Id="rId758" Type="http://schemas.openxmlformats.org/officeDocument/2006/relationships/hyperlink" Target="http://www.plants.usda.gov/java/profile?symbol=CHAN9" TargetMode="External"/><Relationship Id="rId965" Type="http://schemas.openxmlformats.org/officeDocument/2006/relationships/hyperlink" Target="http://www.plants.usda.gov/java/profile?symbol=ENBI" TargetMode="External"/><Relationship Id="rId1150" Type="http://schemas.openxmlformats.org/officeDocument/2006/relationships/hyperlink" Target="http://www.plants.usda.gov/java/profile?symbol=HESU3" TargetMode="External"/><Relationship Id="rId1388" Type="http://schemas.openxmlformats.org/officeDocument/2006/relationships/hyperlink" Target="http://www.plants.usda.gov/java/profile?symbol=MYVE" TargetMode="External"/><Relationship Id="rId1595" Type="http://schemas.openxmlformats.org/officeDocument/2006/relationships/hyperlink" Target="http://www.plants.usda.gov/java/profile?symbol=POOL" TargetMode="External"/><Relationship Id="rId1609" Type="http://schemas.openxmlformats.org/officeDocument/2006/relationships/hyperlink" Target="http://www.plants.usda.gov/java/profile?symbol=POPUT3" TargetMode="External"/><Relationship Id="rId1816" Type="http://schemas.openxmlformats.org/officeDocument/2006/relationships/hyperlink" Target="http://www.plants.usda.gov/java/profile?symbol=SOULU2" TargetMode="External"/><Relationship Id="rId2439" Type="http://schemas.openxmlformats.org/officeDocument/2006/relationships/hyperlink" Target="http://www.plants.usda.gov/java/profile?symbol=SANIC4" TargetMode="External"/><Relationship Id="rId10" Type="http://schemas.openxmlformats.org/officeDocument/2006/relationships/hyperlink" Target="http://www.plants.usda.gov/java/profile?symbol=ANHA" TargetMode="External"/><Relationship Id="rId94" Type="http://schemas.openxmlformats.org/officeDocument/2006/relationships/hyperlink" Target="http://www.plants.usda.gov/java/profile?symbol=CAEM2" TargetMode="External"/><Relationship Id="rId397" Type="http://schemas.openxmlformats.org/officeDocument/2006/relationships/hyperlink" Target="http://www.plants.usda.gov/java/profile?symbol=PHAR3" TargetMode="External"/><Relationship Id="rId520" Type="http://schemas.openxmlformats.org/officeDocument/2006/relationships/hyperlink" Target="http://www.plants.usda.gov/java/profile?symbol=ALCAC" TargetMode="External"/><Relationship Id="rId618" Type="http://schemas.openxmlformats.org/officeDocument/2006/relationships/hyperlink" Target="http://www.plants.usda.gov/java/profile?symbol=ASHI" TargetMode="External"/><Relationship Id="rId825" Type="http://schemas.openxmlformats.org/officeDocument/2006/relationships/hyperlink" Target="http://www.plants.usda.gov/java/profile?symbol=COGR5" TargetMode="External"/><Relationship Id="rId1248" Type="http://schemas.openxmlformats.org/officeDocument/2006/relationships/hyperlink" Target="http://www.plants.usda.gov/java/profile?symbol=LEVI6" TargetMode="External"/><Relationship Id="rId1455" Type="http://schemas.openxmlformats.org/officeDocument/2006/relationships/hyperlink" Target="http://www.plants.usda.gov/java/profile?symbol=PAPA20" TargetMode="External"/><Relationship Id="rId1662" Type="http://schemas.openxmlformats.org/officeDocument/2006/relationships/hyperlink" Target="http://www.plants.usda.gov/java/profile?symbol=RAHIN" TargetMode="External"/><Relationship Id="rId2078" Type="http://schemas.openxmlformats.org/officeDocument/2006/relationships/hyperlink" Target="http://www.plants.usda.gov/java/profile?symbol=AMIN2" TargetMode="External"/><Relationship Id="rId2201" Type="http://schemas.openxmlformats.org/officeDocument/2006/relationships/hyperlink" Target="http://www.plants.usda.gov/java/profile?symbol=GYDI" TargetMode="External"/><Relationship Id="rId2285" Type="http://schemas.openxmlformats.org/officeDocument/2006/relationships/hyperlink" Target="http://www.plants.usda.gov/java/profile?symbol=PHOPI" TargetMode="External"/><Relationship Id="rId2492" Type="http://schemas.openxmlformats.org/officeDocument/2006/relationships/hyperlink" Target="http://www.plants.usda.gov/java/profile?symbol=YUGLG2" TargetMode="External"/><Relationship Id="rId2506" Type="http://schemas.openxmlformats.org/officeDocument/2006/relationships/hyperlink" Target="http://www.plants.usda.gov/java/profile?symbol=CASI10" TargetMode="External"/><Relationship Id="rId257" Type="http://schemas.openxmlformats.org/officeDocument/2006/relationships/hyperlink" Target="http://www.plants.usda.gov/java/profile?symbol=ELIN" TargetMode="External"/><Relationship Id="rId464" Type="http://schemas.openxmlformats.org/officeDocument/2006/relationships/hyperlink" Target="http://www.plants.usda.gov/java/profile?symbol=VUOCH" TargetMode="External"/><Relationship Id="rId1010" Type="http://schemas.openxmlformats.org/officeDocument/2006/relationships/hyperlink" Target="http://www.plants.usda.gov/java/profile?symbol=EUPUP" TargetMode="External"/><Relationship Id="rId1094" Type="http://schemas.openxmlformats.org/officeDocument/2006/relationships/hyperlink" Target="http://www.plants.usda.gov/java/profile?symbol=GRSQS2" TargetMode="External"/><Relationship Id="rId1108" Type="http://schemas.openxmlformats.org/officeDocument/2006/relationships/hyperlink" Target="http://www.plants.usda.gov/java/profile?symbol=HEAMA" TargetMode="External"/><Relationship Id="rId1315" Type="http://schemas.openxmlformats.org/officeDocument/2006/relationships/hyperlink" Target="http://www.plants.usda.gov/java/profile?symbol=LYCL" TargetMode="External"/><Relationship Id="rId1967" Type="http://schemas.openxmlformats.org/officeDocument/2006/relationships/hyperlink" Target="http://www.plants.usda.gov/java/profile?symbol=VERY" TargetMode="External"/><Relationship Id="rId2145" Type="http://schemas.openxmlformats.org/officeDocument/2006/relationships/hyperlink" Target="http://www.plants.usda.gov/java/profile?symbol=CORU" TargetMode="External"/><Relationship Id="rId117" Type="http://schemas.openxmlformats.org/officeDocument/2006/relationships/hyperlink" Target="http://www.plants.usda.gov/java/profile?symbol=CALA16" TargetMode="External"/><Relationship Id="rId671" Type="http://schemas.openxmlformats.org/officeDocument/2006/relationships/hyperlink" Target="http://www.plants.usda.gov/java/profile?symbol=BIBE2" TargetMode="External"/><Relationship Id="rId769" Type="http://schemas.openxmlformats.org/officeDocument/2006/relationships/hyperlink" Target="http://www.plants.usda.gov/java/profile?symbol=CHBEB3" TargetMode="External"/><Relationship Id="rId976" Type="http://schemas.openxmlformats.org/officeDocument/2006/relationships/hyperlink" Target="http://www.plants.usda.gov/java/profile?symbol=EQHYA" TargetMode="External"/><Relationship Id="rId1399" Type="http://schemas.openxmlformats.org/officeDocument/2006/relationships/hyperlink" Target="http://www.plants.usda.gov/java/profile?symbol=NAMA" TargetMode="External"/><Relationship Id="rId2352" Type="http://schemas.openxmlformats.org/officeDocument/2006/relationships/hyperlink" Target="http://www.plants.usda.gov/java/profile?symbol=RHAR4" TargetMode="External"/><Relationship Id="rId324" Type="http://schemas.openxmlformats.org/officeDocument/2006/relationships/hyperlink" Target="http://www.plants.usda.gov/java/profile?symbol=HOJUJ" TargetMode="External"/><Relationship Id="rId531" Type="http://schemas.openxmlformats.org/officeDocument/2006/relationships/hyperlink" Target="http://www.plants.usda.gov/java/profile?symbol=AMHY" TargetMode="External"/><Relationship Id="rId629" Type="http://schemas.openxmlformats.org/officeDocument/2006/relationships/hyperlink" Target="http://www.plants.usda.gov/java/profile?symbol=ASSU3" TargetMode="External"/><Relationship Id="rId1161" Type="http://schemas.openxmlformats.org/officeDocument/2006/relationships/hyperlink" Target="http://www.plants.usda.gov/java/profile?symbol=HILO2" TargetMode="External"/><Relationship Id="rId1259" Type="http://schemas.openxmlformats.org/officeDocument/2006/relationships/hyperlink" Target="http://www.plants.usda.gov/java/profile?symbol=LIPY" TargetMode="External"/><Relationship Id="rId1466" Type="http://schemas.openxmlformats.org/officeDocument/2006/relationships/hyperlink" Target="http://www.plants.usda.gov/java/profile?symbol=PAINI" TargetMode="External"/><Relationship Id="rId2005" Type="http://schemas.openxmlformats.org/officeDocument/2006/relationships/hyperlink" Target="http://www.plants.usda.gov/java/profile?symbol=VICAR" TargetMode="External"/><Relationship Id="rId2212" Type="http://schemas.openxmlformats.org/officeDocument/2006/relationships/hyperlink" Target="http://www.plants.usda.gov/java/profile?symbol=HUBA" TargetMode="External"/><Relationship Id="rId836" Type="http://schemas.openxmlformats.org/officeDocument/2006/relationships/hyperlink" Target="http://www.plants.usda.gov/java/profile?symbol=COCU2" TargetMode="External"/><Relationship Id="rId1021" Type="http://schemas.openxmlformats.org/officeDocument/2006/relationships/hyperlink" Target="http://www.plants.usda.gov/java/profile?symbol=EUMA8" TargetMode="External"/><Relationship Id="rId1119" Type="http://schemas.openxmlformats.org/officeDocument/2006/relationships/hyperlink" Target="http://www.plants.usda.gov/java/profile?symbol=HEHI2" TargetMode="External"/><Relationship Id="rId1673" Type="http://schemas.openxmlformats.org/officeDocument/2006/relationships/hyperlink" Target="http://www.plants.usda.gov/java/profile?symbol=RATRT" TargetMode="External"/><Relationship Id="rId1880" Type="http://schemas.openxmlformats.org/officeDocument/2006/relationships/hyperlink" Target="http://www.plants.usda.gov/java/profile?symbol=SYNO2" TargetMode="External"/><Relationship Id="rId1978" Type="http://schemas.openxmlformats.org/officeDocument/2006/relationships/hyperlink" Target="http://www.plants.usda.gov/java/profile?symbol=VEVIV" TargetMode="External"/><Relationship Id="rId2517" Type="http://schemas.openxmlformats.org/officeDocument/2006/relationships/hyperlink" Target="http://www.plants.usda.gov/java/profile?symbol=CLVI5" TargetMode="External"/><Relationship Id="rId903" Type="http://schemas.openxmlformats.org/officeDocument/2006/relationships/hyperlink" Target="http://www.plants.usda.gov/java/profile?symbol=DECA3" TargetMode="External"/><Relationship Id="rId1326" Type="http://schemas.openxmlformats.org/officeDocument/2006/relationships/hyperlink" Target="http://www.plants.usda.gov/java/profile?symbol=LYHY" TargetMode="External"/><Relationship Id="rId1533" Type="http://schemas.openxmlformats.org/officeDocument/2006/relationships/hyperlink" Target="http://www.plants.usda.gov/java/profile?symbol=PLRUR" TargetMode="External"/><Relationship Id="rId1740" Type="http://schemas.openxmlformats.org/officeDocument/2006/relationships/hyperlink" Target="http://www.plants.usda.gov/java/profile?symbol=SCNE2" TargetMode="External"/><Relationship Id="rId32" Type="http://schemas.openxmlformats.org/officeDocument/2006/relationships/hyperlink" Target="http://www.plants.usda.gov/java/profile?symbol=BRAR9" TargetMode="External"/><Relationship Id="rId1600" Type="http://schemas.openxmlformats.org/officeDocument/2006/relationships/hyperlink" Target="http://www.plants.usda.gov/java/profile?symbol=POFOF4" TargetMode="External"/><Relationship Id="rId1838" Type="http://schemas.openxmlformats.org/officeDocument/2006/relationships/hyperlink" Target="http://www.plants.usda.gov/java/profile?symbol=STPIA" TargetMode="External"/><Relationship Id="rId181" Type="http://schemas.openxmlformats.org/officeDocument/2006/relationships/hyperlink" Target="http://www.plants.usda.gov/java/profile?symbol=CAUM4" TargetMode="External"/><Relationship Id="rId1905" Type="http://schemas.openxmlformats.org/officeDocument/2006/relationships/hyperlink" Target="http://www.plants.usda.gov/java/profile?symbol=TECAC" TargetMode="External"/><Relationship Id="rId279" Type="http://schemas.openxmlformats.org/officeDocument/2006/relationships/hyperlink" Target="http://www.plants.usda.gov/java/profile?symbol=ELRI" TargetMode="External"/><Relationship Id="rId486" Type="http://schemas.openxmlformats.org/officeDocument/2006/relationships/hyperlink" Target="http://www.plants.usda.gov/java/profile?symbol=ACRA7" TargetMode="External"/><Relationship Id="rId693" Type="http://schemas.openxmlformats.org/officeDocument/2006/relationships/hyperlink" Target="http://www.plants.usda.gov/java/profile?symbol=BOVI" TargetMode="External"/><Relationship Id="rId2167" Type="http://schemas.openxmlformats.org/officeDocument/2006/relationships/hyperlink" Target="http://www.plants.usda.gov/java/profile?symbol=DACAO" TargetMode="External"/><Relationship Id="rId2374" Type="http://schemas.openxmlformats.org/officeDocument/2006/relationships/hyperlink" Target="http://www.plants.usda.gov/java/profile?symbol=ROACS" TargetMode="External"/><Relationship Id="rId2581" Type="http://schemas.openxmlformats.org/officeDocument/2006/relationships/hyperlink" Target="http://www.plants.usda.gov/java/profile?symbol=VIAMM3" TargetMode="External"/><Relationship Id="rId139" Type="http://schemas.openxmlformats.org/officeDocument/2006/relationships/hyperlink" Target="http://www.plants.usda.gov/java/profile?symbol=CAMU9" TargetMode="External"/><Relationship Id="rId346" Type="http://schemas.openxmlformats.org/officeDocument/2006/relationships/hyperlink" Target="http://www.plants.usda.gov/java/profile?symbol=JUTE" TargetMode="External"/><Relationship Id="rId553" Type="http://schemas.openxmlformats.org/officeDocument/2006/relationships/hyperlink" Target="http://www.plants.usda.gov/java/profile?symbol=ANMA" TargetMode="External"/><Relationship Id="rId760" Type="http://schemas.openxmlformats.org/officeDocument/2006/relationships/hyperlink" Target="http://www.plants.usda.gov/java/profile?symbol=CHFE" TargetMode="External"/><Relationship Id="rId998" Type="http://schemas.openxmlformats.org/officeDocument/2006/relationships/hyperlink" Target="http://www.plants.usda.gov/java/profile?symbol=ERAL9" TargetMode="External"/><Relationship Id="rId1183" Type="http://schemas.openxmlformats.org/officeDocument/2006/relationships/hyperlink" Target="http://www.plants.usda.gov/java/profile?symbol=HYBO2" TargetMode="External"/><Relationship Id="rId1390" Type="http://schemas.openxmlformats.org/officeDocument/2006/relationships/hyperlink" Target="http://www.plants.usda.gov/java/profile?symbol=MYHE2" TargetMode="External"/><Relationship Id="rId2027" Type="http://schemas.openxmlformats.org/officeDocument/2006/relationships/hyperlink" Target="http://www.plants.usda.gov/java/profile?symbol=WOBO" TargetMode="External"/><Relationship Id="rId2234" Type="http://schemas.openxmlformats.org/officeDocument/2006/relationships/hyperlink" Target="http://www.plants.usda.gov/java/profile?symbol=LYCL" TargetMode="External"/><Relationship Id="rId2441" Type="http://schemas.openxmlformats.org/officeDocument/2006/relationships/hyperlink" Target="http://www.plants.usda.gov/java/profile?symbol=SARAR3" TargetMode="External"/><Relationship Id="rId206" Type="http://schemas.openxmlformats.org/officeDocument/2006/relationships/hyperlink" Target="http://www.plants.usda.gov/java/profile?symbol=DASP2" TargetMode="External"/><Relationship Id="rId413" Type="http://schemas.openxmlformats.org/officeDocument/2006/relationships/hyperlink" Target="http://www.plants.usda.gov/java/profile?symbol=SCPA" TargetMode="External"/><Relationship Id="rId858" Type="http://schemas.openxmlformats.org/officeDocument/2006/relationships/hyperlink" Target="http://www.plants.usda.gov/java/profile?symbol=CUVI" TargetMode="External"/><Relationship Id="rId1043" Type="http://schemas.openxmlformats.org/officeDocument/2006/relationships/hyperlink" Target="http://www.plants.usda.gov/java/profile?symbol=GAAP2" TargetMode="External"/><Relationship Id="rId1488" Type="http://schemas.openxmlformats.org/officeDocument/2006/relationships/hyperlink" Target="http://www.plants.usda.gov/java/profile?symbol=PHPOP" TargetMode="External"/><Relationship Id="rId1695" Type="http://schemas.openxmlformats.org/officeDocument/2006/relationships/hyperlink" Target="http://www.plants.usda.gov/java/profile?symbol=RUAQ" TargetMode="External"/><Relationship Id="rId2539" Type="http://schemas.openxmlformats.org/officeDocument/2006/relationships/hyperlink" Target="http://www.plants.usda.gov/java/profile?symbol=GATRT5" TargetMode="External"/><Relationship Id="rId620" Type="http://schemas.openxmlformats.org/officeDocument/2006/relationships/hyperlink" Target="http://www.plants.usda.gov/java/profile?symbol=ASINI" TargetMode="External"/><Relationship Id="rId718" Type="http://schemas.openxmlformats.org/officeDocument/2006/relationships/hyperlink" Target="http://www.plants.usda.gov/java/profile?symbol=CASPS2" TargetMode="External"/><Relationship Id="rId925" Type="http://schemas.openxmlformats.org/officeDocument/2006/relationships/hyperlink" Target="http://www.plants.usda.gov/java/profile?symbol=DICU" TargetMode="External"/><Relationship Id="rId1250" Type="http://schemas.openxmlformats.org/officeDocument/2006/relationships/hyperlink" Target="http://www.plants.usda.gov/java/profile?symbol=LELU" TargetMode="External"/><Relationship Id="rId1348" Type="http://schemas.openxmlformats.org/officeDocument/2006/relationships/hyperlink" Target="http://www.plants.usda.gov/java/profile?symbol=MAQU" TargetMode="External"/><Relationship Id="rId1555" Type="http://schemas.openxmlformats.org/officeDocument/2006/relationships/hyperlink" Target="http://www.plants.usda.gov/java/profile?symbol=POCRA" TargetMode="External"/><Relationship Id="rId1762" Type="http://schemas.openxmlformats.org/officeDocument/2006/relationships/hyperlink" Target="http://www.plants.usda.gov/java/profile?symbol=SIVIV" TargetMode="External"/><Relationship Id="rId2301" Type="http://schemas.openxmlformats.org/officeDocument/2006/relationships/hyperlink" Target="http://www.plants.usda.gov/java/profile?symbol=POTR5" TargetMode="External"/><Relationship Id="rId1110" Type="http://schemas.openxmlformats.org/officeDocument/2006/relationships/hyperlink" Target="http://www.plants.usda.gov/java/profile?symbol=HEAUA" TargetMode="External"/><Relationship Id="rId1208" Type="http://schemas.openxmlformats.org/officeDocument/2006/relationships/hyperlink" Target="http://www.plants.usda.gov/java/profile?symbol=KRBI" TargetMode="External"/><Relationship Id="rId1415" Type="http://schemas.openxmlformats.org/officeDocument/2006/relationships/hyperlink" Target="http://www.plants.usda.gov/java/profile?symbol=OEPA5" TargetMode="External"/><Relationship Id="rId54" Type="http://schemas.openxmlformats.org/officeDocument/2006/relationships/hyperlink" Target="http://www.plants.usda.gov/java/profile?symbol=CAALA" TargetMode="External"/><Relationship Id="rId1622" Type="http://schemas.openxmlformats.org/officeDocument/2006/relationships/hyperlink" Target="http://www.plants.usda.gov/java/profile?symbol=POPA15" TargetMode="External"/><Relationship Id="rId1927" Type="http://schemas.openxmlformats.org/officeDocument/2006/relationships/hyperlink" Target="http://www.plants.usda.gov/java/profile?symbol=TRDI2" TargetMode="External"/><Relationship Id="rId2091" Type="http://schemas.openxmlformats.org/officeDocument/2006/relationships/hyperlink" Target="http://www.plants.usda.gov/java/profile?symbol=ARDR4" TargetMode="External"/><Relationship Id="rId2189" Type="http://schemas.openxmlformats.org/officeDocument/2006/relationships/hyperlink" Target="http://www.plants.usda.gov/java/profile?symbol=FRAL4" TargetMode="External"/><Relationship Id="rId270" Type="http://schemas.openxmlformats.org/officeDocument/2006/relationships/hyperlink" Target="http://www.plants.usda.gov/java/profile?symbol=ELIO" TargetMode="External"/><Relationship Id="rId2396" Type="http://schemas.openxmlformats.org/officeDocument/2006/relationships/hyperlink" Target="http://www.plants.usda.gov/java/profile?symbol=RUHI" TargetMode="External"/><Relationship Id="rId130" Type="http://schemas.openxmlformats.org/officeDocument/2006/relationships/hyperlink" Target="http://www.plants.usda.gov/java/profile?symbol=CALU4" TargetMode="External"/><Relationship Id="rId368" Type="http://schemas.openxmlformats.org/officeDocument/2006/relationships/hyperlink" Target="http://www.plants.usda.gov/java/profile?symbol=MIEFC" TargetMode="External"/><Relationship Id="rId575" Type="http://schemas.openxmlformats.org/officeDocument/2006/relationships/hyperlink" Target="http://www.plants.usda.gov/java/profile?symbol=APFL" TargetMode="External"/><Relationship Id="rId782" Type="http://schemas.openxmlformats.org/officeDocument/2006/relationships/hyperlink" Target="http://www.plants.usda.gov/java/profile?symbol=CIBU" TargetMode="External"/><Relationship Id="rId2049" Type="http://schemas.openxmlformats.org/officeDocument/2006/relationships/hyperlink" Target="http://www.plants.usda.gov/java/profile?symbol=ABBA" TargetMode="External"/><Relationship Id="rId2256" Type="http://schemas.openxmlformats.org/officeDocument/2006/relationships/hyperlink" Target="http://www.plants.usda.gov/java/profile?symbol=MORU2" TargetMode="External"/><Relationship Id="rId2463" Type="http://schemas.openxmlformats.org/officeDocument/2006/relationships/hyperlink" Target="http://www.plants.usda.gov/java/profile?symbol=SYOR" TargetMode="External"/><Relationship Id="rId228" Type="http://schemas.openxmlformats.org/officeDocument/2006/relationships/hyperlink" Target="http://www.plants.usda.gov/java/profile?symbol=DISA5" TargetMode="External"/><Relationship Id="rId435" Type="http://schemas.openxmlformats.org/officeDocument/2006/relationships/hyperlink" Target="http://www.plants.usda.gov/java/profile?symbol=SCPE3" TargetMode="External"/><Relationship Id="rId642" Type="http://schemas.openxmlformats.org/officeDocument/2006/relationships/hyperlink" Target="http://www.plants.usda.gov/java/profile?symbol=ASCRC3" TargetMode="External"/><Relationship Id="rId1065" Type="http://schemas.openxmlformats.org/officeDocument/2006/relationships/hyperlink" Target="http://www.plants.usda.gov/java/profile?symbol=GEBI5" TargetMode="External"/><Relationship Id="rId1272" Type="http://schemas.openxmlformats.org/officeDocument/2006/relationships/hyperlink" Target="http://www.plants.usda.gov/java/profile?symbol=LIBO3" TargetMode="External"/><Relationship Id="rId2116" Type="http://schemas.openxmlformats.org/officeDocument/2006/relationships/hyperlink" Target="http://www.plants.usda.gov/java/profile?symbol=CAIL2" TargetMode="External"/><Relationship Id="rId2323" Type="http://schemas.openxmlformats.org/officeDocument/2006/relationships/hyperlink" Target="http://www.plants.usda.gov/java/profile?symbol=QUAL" TargetMode="External"/><Relationship Id="rId2530" Type="http://schemas.openxmlformats.org/officeDocument/2006/relationships/hyperlink" Target="http://www.plants.usda.gov/java/profile?symbol=CUPE3" TargetMode="External"/><Relationship Id="rId502" Type="http://schemas.openxmlformats.org/officeDocument/2006/relationships/hyperlink" Target="http://www.plants.usda.gov/java/profile?symbol=AGTEM" TargetMode="External"/><Relationship Id="rId947" Type="http://schemas.openxmlformats.org/officeDocument/2006/relationships/hyperlink" Target="http://www.plants.usda.gov/java/profile?symbol=DRGO" TargetMode="External"/><Relationship Id="rId1132" Type="http://schemas.openxmlformats.org/officeDocument/2006/relationships/hyperlink" Target="http://www.plants.usda.gov/java/profile?symbol=HEPEP" TargetMode="External"/><Relationship Id="rId1577" Type="http://schemas.openxmlformats.org/officeDocument/2006/relationships/hyperlink" Target="http://www.plants.usda.gov/java/profile?symbol=POPE2" TargetMode="External"/><Relationship Id="rId1784" Type="http://schemas.openxmlformats.org/officeDocument/2006/relationships/hyperlink" Target="http://www.plants.usda.gov/java/profile?symbol=SOCI" TargetMode="External"/><Relationship Id="rId1991" Type="http://schemas.openxmlformats.org/officeDocument/2006/relationships/hyperlink" Target="http://www.plants.usda.gov/java/profile?symbol=VEPEX2" TargetMode="External"/><Relationship Id="rId76" Type="http://schemas.openxmlformats.org/officeDocument/2006/relationships/hyperlink" Target="http://www.plants.usda.gov/java/profile?symbol=CACO8" TargetMode="External"/><Relationship Id="rId807" Type="http://schemas.openxmlformats.org/officeDocument/2006/relationships/hyperlink" Target="http://www.plants.usda.gov/java/profile?symbol=COVE2" TargetMode="External"/><Relationship Id="rId1437" Type="http://schemas.openxmlformats.org/officeDocument/2006/relationships/hyperlink" Target="http://www.plants.usda.gov/java/profile?symbol=ORUN" TargetMode="External"/><Relationship Id="rId1644" Type="http://schemas.openxmlformats.org/officeDocument/2006/relationships/hyperlink" Target="http://www.plants.usda.gov/java/profile?symbol=PTAQ" TargetMode="External"/><Relationship Id="rId1851" Type="http://schemas.openxmlformats.org/officeDocument/2006/relationships/hyperlink" Target="http://www.plants.usda.gov/java/profile?symbol=STPE15" TargetMode="External"/><Relationship Id="rId1504" Type="http://schemas.openxmlformats.org/officeDocument/2006/relationships/hyperlink" Target="http://www.plants.usda.gov/java/profile?symbol=PHLA3" TargetMode="External"/><Relationship Id="rId1711" Type="http://schemas.openxmlformats.org/officeDocument/2006/relationships/hyperlink" Target="http://www.plants.usda.gov/java/profile?symbol=SACAC" TargetMode="External"/><Relationship Id="rId1949" Type="http://schemas.openxmlformats.org/officeDocument/2006/relationships/hyperlink" Target="http://www.plants.usda.gov/java/profile?symbol=UTMI" TargetMode="External"/><Relationship Id="rId292" Type="http://schemas.openxmlformats.org/officeDocument/2006/relationships/hyperlink" Target="http://www.plants.usda.gov/java/profile?symbol=ERMEM" TargetMode="External"/><Relationship Id="rId1809" Type="http://schemas.openxmlformats.org/officeDocument/2006/relationships/hyperlink" Target="http://www.plants.usda.gov/java/profile?symbol=SOSC" TargetMode="External"/><Relationship Id="rId597" Type="http://schemas.openxmlformats.org/officeDocument/2006/relationships/hyperlink" Target="http://www.plants.usda.gov/java/profile?symbol=ARTR" TargetMode="External"/><Relationship Id="rId2180" Type="http://schemas.openxmlformats.org/officeDocument/2006/relationships/hyperlink" Target="http://www.plants.usda.gov/java/profile?symbol=EPRE2" TargetMode="External"/><Relationship Id="rId2278" Type="http://schemas.openxmlformats.org/officeDocument/2006/relationships/hyperlink" Target="http://www.plants.usda.gov/java/profile?symbol=PHPIF2" TargetMode="External"/><Relationship Id="rId2485" Type="http://schemas.openxmlformats.org/officeDocument/2006/relationships/hyperlink" Target="http://www.plants.usda.gov/java/profile?symbol=VILE" TargetMode="External"/><Relationship Id="rId152" Type="http://schemas.openxmlformats.org/officeDocument/2006/relationships/hyperlink" Target="http://www.plants.usda.gov/java/profile?symbol=CARE9" TargetMode="External"/><Relationship Id="rId457" Type="http://schemas.openxmlformats.org/officeDocument/2006/relationships/hyperlink" Target="http://www.plants.usda.gov/java/profile?symbol=TRMA20" TargetMode="External"/><Relationship Id="rId1087" Type="http://schemas.openxmlformats.org/officeDocument/2006/relationships/hyperlink" Target="http://www.plants.usda.gov/java/profile?symbol=GLLE3" TargetMode="External"/><Relationship Id="rId1294" Type="http://schemas.openxmlformats.org/officeDocument/2006/relationships/hyperlink" Target="http://www.plants.usda.gov/java/profile?symbol=LOSIS2" TargetMode="External"/><Relationship Id="rId2040" Type="http://schemas.openxmlformats.org/officeDocument/2006/relationships/hyperlink" Target="http://www.plants.usda.gov/java/profile?symbol=YUGLG2" TargetMode="External"/><Relationship Id="rId2138" Type="http://schemas.openxmlformats.org/officeDocument/2006/relationships/hyperlink" Target="http://www.plants.usda.gov/java/profile?symbol=COUMU" TargetMode="External"/><Relationship Id="rId664" Type="http://schemas.openxmlformats.org/officeDocument/2006/relationships/hyperlink" Target="http://www.plants.usda.gov/java/profile?symbol=BAAUM" TargetMode="External"/><Relationship Id="rId871" Type="http://schemas.openxmlformats.org/officeDocument/2006/relationships/hyperlink" Target="http://www.plants.usda.gov/java/profile?symbol=CUPO" TargetMode="External"/><Relationship Id="rId969" Type="http://schemas.openxmlformats.org/officeDocument/2006/relationships/hyperlink" Target="http://www.plants.usda.gov/java/profile?symbol=EPLE2" TargetMode="External"/><Relationship Id="rId1599" Type="http://schemas.openxmlformats.org/officeDocument/2006/relationships/hyperlink" Target="http://www.plants.usda.gov/java/profile?symbol=POFO3" TargetMode="External"/><Relationship Id="rId2345" Type="http://schemas.openxmlformats.org/officeDocument/2006/relationships/hyperlink" Target="http://www.plants.usda.gov/java/profile?symbol=QUSC2" TargetMode="External"/><Relationship Id="rId2552" Type="http://schemas.openxmlformats.org/officeDocument/2006/relationships/hyperlink" Target="http://www.plants.usda.gov/java/profile?symbol=LORE5" TargetMode="External"/><Relationship Id="rId317" Type="http://schemas.openxmlformats.org/officeDocument/2006/relationships/hyperlink" Target="http://www.plants.usda.gov/java/profile?symbol=GLST" TargetMode="External"/><Relationship Id="rId524" Type="http://schemas.openxmlformats.org/officeDocument/2006/relationships/hyperlink" Target="http://www.plants.usda.gov/java/profile?symbol=ALCEC2" TargetMode="External"/><Relationship Id="rId731" Type="http://schemas.openxmlformats.org/officeDocument/2006/relationships/hyperlink" Target="http://www.plants.usda.gov/java/profile?symbol=CACO17" TargetMode="External"/><Relationship Id="rId1154" Type="http://schemas.openxmlformats.org/officeDocument/2006/relationships/hyperlink" Target="http://www.plants.usda.gov/java/profile?symbol=HEAM6" TargetMode="External"/><Relationship Id="rId1361" Type="http://schemas.openxmlformats.org/officeDocument/2006/relationships/hyperlink" Target="http://www.plants.usda.gov/java/profile?symbol=MIGLJ" TargetMode="External"/><Relationship Id="rId1459" Type="http://schemas.openxmlformats.org/officeDocument/2006/relationships/hyperlink" Target="http://www.plants.usda.gov/java/profile?symbol=PAQU" TargetMode="External"/><Relationship Id="rId2205" Type="http://schemas.openxmlformats.org/officeDocument/2006/relationships/hyperlink" Target="http://www.plants.usda.gov/java/profile?symbol=HEST3" TargetMode="External"/><Relationship Id="rId2412" Type="http://schemas.openxmlformats.org/officeDocument/2006/relationships/hyperlink" Target="http://www.plants.usda.gov/java/profile?symbol=RURO2" TargetMode="External"/><Relationship Id="rId98" Type="http://schemas.openxmlformats.org/officeDocument/2006/relationships/hyperlink" Target="http://www.plants.usda.gov/java/profile?symbol=CAGR8" TargetMode="External"/><Relationship Id="rId829" Type="http://schemas.openxmlformats.org/officeDocument/2006/relationships/hyperlink" Target="http://www.plants.usda.gov/java/profile?symbol=COTI3" TargetMode="External"/><Relationship Id="rId1014" Type="http://schemas.openxmlformats.org/officeDocument/2006/relationships/hyperlink" Target="http://www.plants.usda.gov/java/profile?symbol=EUTR5" TargetMode="External"/><Relationship Id="rId1221" Type="http://schemas.openxmlformats.org/officeDocument/2006/relationships/hyperlink" Target="http://www.plants.usda.gov/java/profile?symbol=LAOC3" TargetMode="External"/><Relationship Id="rId1666" Type="http://schemas.openxmlformats.org/officeDocument/2006/relationships/hyperlink" Target="http://www.plants.usda.gov/java/profile?symbol=RARE2" TargetMode="External"/><Relationship Id="rId1873" Type="http://schemas.openxmlformats.org/officeDocument/2006/relationships/hyperlink" Target="http://www.plants.usda.gov/java/profile?symbol=SYLAL6" TargetMode="External"/><Relationship Id="rId1319" Type="http://schemas.openxmlformats.org/officeDocument/2006/relationships/hyperlink" Target="http://www.plants.usda.gov/java/profile?symbol=LYAS" TargetMode="External"/><Relationship Id="rId1526" Type="http://schemas.openxmlformats.org/officeDocument/2006/relationships/hyperlink" Target="http://www.plants.usda.gov/java/profile?symbol=PIPUD" TargetMode="External"/><Relationship Id="rId1733" Type="http://schemas.openxmlformats.org/officeDocument/2006/relationships/hyperlink" Target="http://www.plants.usda.gov/java/profile?symbol=SCLA" TargetMode="External"/><Relationship Id="rId1940" Type="http://schemas.openxmlformats.org/officeDocument/2006/relationships/hyperlink" Target="http://www.plants.usda.gov/java/profile?symbol=TYAN" TargetMode="External"/><Relationship Id="rId25" Type="http://schemas.openxmlformats.org/officeDocument/2006/relationships/hyperlink" Target="http://www.plants.usda.gov/java/profile?symbol=BESY" TargetMode="External"/><Relationship Id="rId1800" Type="http://schemas.openxmlformats.org/officeDocument/2006/relationships/hyperlink" Target="http://www.plants.usda.gov/java/profile?symbol=SOMI2" TargetMode="External"/><Relationship Id="rId174" Type="http://schemas.openxmlformats.org/officeDocument/2006/relationships/hyperlink" Target="http://www.plants.usda.gov/java/profile?symbol=CATO10" TargetMode="External"/><Relationship Id="rId381" Type="http://schemas.openxmlformats.org/officeDocument/2006/relationships/hyperlink" Target="http://www.plants.usda.gov/java/profile?symbol=MUTE" TargetMode="External"/><Relationship Id="rId2062" Type="http://schemas.openxmlformats.org/officeDocument/2006/relationships/hyperlink" Target="http://www.plants.usda.gov/java/profile?symbol=AEGLA" TargetMode="External"/><Relationship Id="rId241" Type="http://schemas.openxmlformats.org/officeDocument/2006/relationships/hyperlink" Target="http://www.plants.usda.gov/java/profile?symbol=DISA" TargetMode="External"/><Relationship Id="rId479" Type="http://schemas.openxmlformats.org/officeDocument/2006/relationships/hyperlink" Target="http://www.plants.usda.gov/java/profile?symbol=ACMIO" TargetMode="External"/><Relationship Id="rId686" Type="http://schemas.openxmlformats.org/officeDocument/2006/relationships/hyperlink" Target="http://www.plants.usda.gov/java/profile?symbol=BOASR" TargetMode="External"/><Relationship Id="rId893" Type="http://schemas.openxmlformats.org/officeDocument/2006/relationships/hyperlink" Target="http://www.plants.usda.gov/java/profile?symbol=DACAC" TargetMode="External"/><Relationship Id="rId2367" Type="http://schemas.openxmlformats.org/officeDocument/2006/relationships/hyperlink" Target="http://www.plants.usda.gov/java/profile?symbol=RIHUH" TargetMode="External"/><Relationship Id="rId2574" Type="http://schemas.openxmlformats.org/officeDocument/2006/relationships/hyperlink" Target="http://www.plants.usda.gov/java/profile?symbol=STPI3" TargetMode="External"/><Relationship Id="rId339" Type="http://schemas.openxmlformats.org/officeDocument/2006/relationships/hyperlink" Target="http://www.plants.usda.gov/java/profile?symbol=JUGR" TargetMode="External"/><Relationship Id="rId546" Type="http://schemas.openxmlformats.org/officeDocument/2006/relationships/hyperlink" Target="http://www.plants.usda.gov/java/profile?symbol=AMRO3" TargetMode="External"/><Relationship Id="rId753" Type="http://schemas.openxmlformats.org/officeDocument/2006/relationships/hyperlink" Target="http://www.plants.usda.gov/java/profile?symbol=CHPR6" TargetMode="External"/><Relationship Id="rId1176" Type="http://schemas.openxmlformats.org/officeDocument/2006/relationships/hyperlink" Target="http://www.plants.usda.gov/java/profile?symbol=HYCO6" TargetMode="External"/><Relationship Id="rId1383" Type="http://schemas.openxmlformats.org/officeDocument/2006/relationships/hyperlink" Target="http://www.plants.usda.gov/java/profile?symbol=MOPUV" TargetMode="External"/><Relationship Id="rId2227" Type="http://schemas.openxmlformats.org/officeDocument/2006/relationships/hyperlink" Target="http://www.plants.usda.gov/java/profile?symbol=LIBO3" TargetMode="External"/><Relationship Id="rId2434" Type="http://schemas.openxmlformats.org/officeDocument/2006/relationships/hyperlink" Target="http://www.plants.usda.gov/java/profile?symbol=SANI" TargetMode="External"/><Relationship Id="rId101" Type="http://schemas.openxmlformats.org/officeDocument/2006/relationships/hyperlink" Target="http://www.plants.usda.gov/java/profile?symbol=CAGR4" TargetMode="External"/><Relationship Id="rId406" Type="http://schemas.openxmlformats.org/officeDocument/2006/relationships/hyperlink" Target="http://www.plants.usda.gov/java/profile?symbol=POPR" TargetMode="External"/><Relationship Id="rId960" Type="http://schemas.openxmlformats.org/officeDocument/2006/relationships/hyperlink" Target="http://www.plants.usda.gov/java/profile?symbol=ECPR" TargetMode="External"/><Relationship Id="rId1036" Type="http://schemas.openxmlformats.org/officeDocument/2006/relationships/hyperlink" Target="http://www.plants.usda.gov/java/profile?symbol=FRVIV" TargetMode="External"/><Relationship Id="rId1243" Type="http://schemas.openxmlformats.org/officeDocument/2006/relationships/hyperlink" Target="http://www.plants.usda.gov/java/profile?symbol=LECA8" TargetMode="External"/><Relationship Id="rId1590" Type="http://schemas.openxmlformats.org/officeDocument/2006/relationships/hyperlink" Target="http://www.plants.usda.gov/java/profile?symbol=POVI7" TargetMode="External"/><Relationship Id="rId1688" Type="http://schemas.openxmlformats.org/officeDocument/2006/relationships/hyperlink" Target="http://www.plants.usda.gov/java/profile?symbol=RULAL" TargetMode="External"/><Relationship Id="rId1895" Type="http://schemas.openxmlformats.org/officeDocument/2006/relationships/hyperlink" Target="http://www.plants.usda.gov/java/profile?symbol=SYSE2" TargetMode="External"/><Relationship Id="rId613" Type="http://schemas.openxmlformats.org/officeDocument/2006/relationships/hyperlink" Target="http://www.plants.usda.gov/java/profile?symbol=ARDIP" TargetMode="External"/><Relationship Id="rId820" Type="http://schemas.openxmlformats.org/officeDocument/2006/relationships/hyperlink" Target="http://www.plants.usda.gov/java/profile?symbol=COMA25" TargetMode="External"/><Relationship Id="rId918" Type="http://schemas.openxmlformats.org/officeDocument/2006/relationships/hyperlink" Target="http://www.plants.usda.gov/java/profile?symbol=DEIL2" TargetMode="External"/><Relationship Id="rId1450" Type="http://schemas.openxmlformats.org/officeDocument/2006/relationships/hyperlink" Target="http://www.plants.usda.gov/java/profile?symbol=OXRI" TargetMode="External"/><Relationship Id="rId1548" Type="http://schemas.openxmlformats.org/officeDocument/2006/relationships/hyperlink" Target="http://www.plants.usda.gov/java/profile?symbol=PODO3" TargetMode="External"/><Relationship Id="rId1755" Type="http://schemas.openxmlformats.org/officeDocument/2006/relationships/hyperlink" Target="http://www.plants.usda.gov/java/profile?symbol=SITR3" TargetMode="External"/><Relationship Id="rId2501" Type="http://schemas.openxmlformats.org/officeDocument/2006/relationships/hyperlink" Target="http://www.plants.usda.gov/java/profile?symbol=APAM" TargetMode="External"/><Relationship Id="rId1103" Type="http://schemas.openxmlformats.org/officeDocument/2006/relationships/hyperlink" Target="http://www.plants.usda.gov/java/profile?symbol=HAVI2" TargetMode="External"/><Relationship Id="rId1310" Type="http://schemas.openxmlformats.org/officeDocument/2006/relationships/hyperlink" Target="http://www.plants.usda.gov/java/profile?symbol=LUPO" TargetMode="External"/><Relationship Id="rId1408" Type="http://schemas.openxmlformats.org/officeDocument/2006/relationships/hyperlink" Target="http://www.plants.usda.gov/java/profile?symbol=NUCA" TargetMode="External"/><Relationship Id="rId1962" Type="http://schemas.openxmlformats.org/officeDocument/2006/relationships/hyperlink" Target="http://www.plants.usda.gov/java/profile?symbol=VEHAH" TargetMode="External"/><Relationship Id="rId47" Type="http://schemas.openxmlformats.org/officeDocument/2006/relationships/hyperlink" Target="http://www.plants.usda.gov/java/profile?symbol=CAST36" TargetMode="External"/><Relationship Id="rId1615" Type="http://schemas.openxmlformats.org/officeDocument/2006/relationships/hyperlink" Target="http://www.plants.usda.gov/java/profile?symbol=POZO" TargetMode="External"/><Relationship Id="rId1822" Type="http://schemas.openxmlformats.org/officeDocument/2006/relationships/hyperlink" Target="http://www.plants.usda.gov/java/profile?symbol=SPIN" TargetMode="External"/><Relationship Id="rId196" Type="http://schemas.openxmlformats.org/officeDocument/2006/relationships/hyperlink" Target="http://www.plants.usda.gov/java/profile?symbol=CYDI3" TargetMode="External"/><Relationship Id="rId2084" Type="http://schemas.openxmlformats.org/officeDocument/2006/relationships/hyperlink" Target="http://www.plants.usda.gov/java/profile?symbol=AMCA6" TargetMode="External"/><Relationship Id="rId2291" Type="http://schemas.openxmlformats.org/officeDocument/2006/relationships/hyperlink" Target="http://www.plants.usda.gov/java/profile?symbol=POAR4" TargetMode="External"/><Relationship Id="rId263" Type="http://schemas.openxmlformats.org/officeDocument/2006/relationships/hyperlink" Target="http://www.plants.usda.gov/java/profile?symbol=ELPA3" TargetMode="External"/><Relationship Id="rId470" Type="http://schemas.openxmlformats.org/officeDocument/2006/relationships/hyperlink" Target="http://www.plants.usda.gov/java/profile?symbol=ZIPAP" TargetMode="External"/><Relationship Id="rId2151" Type="http://schemas.openxmlformats.org/officeDocument/2006/relationships/hyperlink" Target="http://www.plants.usda.gov/java/profile?symbol=CRCA" TargetMode="External"/><Relationship Id="rId2389" Type="http://schemas.openxmlformats.org/officeDocument/2006/relationships/hyperlink" Target="http://www.plants.usda.gov/java/profile?symbol=RUAL" TargetMode="External"/><Relationship Id="rId123" Type="http://schemas.openxmlformats.org/officeDocument/2006/relationships/hyperlink" Target="http://www.plants.usda.gov/java/profile?symbol=CALAC" TargetMode="External"/><Relationship Id="rId330" Type="http://schemas.openxmlformats.org/officeDocument/2006/relationships/hyperlink" Target="http://www.plants.usda.gov/java/profile?symbol=JUAN3" TargetMode="External"/><Relationship Id="rId568" Type="http://schemas.openxmlformats.org/officeDocument/2006/relationships/hyperlink" Target="http://www.plants.usda.gov/java/profile?symbol=ANPAF" TargetMode="External"/><Relationship Id="rId775" Type="http://schemas.openxmlformats.org/officeDocument/2006/relationships/hyperlink" Target="http://www.plants.usda.gov/java/profile?symbol=CHRU" TargetMode="External"/><Relationship Id="rId982" Type="http://schemas.openxmlformats.org/officeDocument/2006/relationships/hyperlink" Target="http://www.plants.usda.gov/java/profile?symbol=ERHI2" TargetMode="External"/><Relationship Id="rId1198" Type="http://schemas.openxmlformats.org/officeDocument/2006/relationships/hyperlink" Target="http://www.plants.usda.gov/java/profile?symbol=IPHE" TargetMode="External"/><Relationship Id="rId2011" Type="http://schemas.openxmlformats.org/officeDocument/2006/relationships/hyperlink" Target="http://www.plants.usda.gov/java/profile?symbol=VIMI3" TargetMode="External"/><Relationship Id="rId2249" Type="http://schemas.openxmlformats.org/officeDocument/2006/relationships/hyperlink" Target="http://www.plants.usda.gov/java/profile?symbol=MIRE" TargetMode="External"/><Relationship Id="rId2456" Type="http://schemas.openxmlformats.org/officeDocument/2006/relationships/hyperlink" Target="http://www.plants.usda.gov/java/profile?symbol=SPALA" TargetMode="External"/><Relationship Id="rId428" Type="http://schemas.openxmlformats.org/officeDocument/2006/relationships/hyperlink" Target="http://www.plants.usda.gov/java/profile?symbol=SCTA2" TargetMode="External"/><Relationship Id="rId635" Type="http://schemas.openxmlformats.org/officeDocument/2006/relationships/hyperlink" Target="http://www.plants.usda.gov/java/profile?symbol=ASPL" TargetMode="External"/><Relationship Id="rId842" Type="http://schemas.openxmlformats.org/officeDocument/2006/relationships/hyperlink" Target="http://www.plants.usda.gov/java/profile?symbol=COSE5" TargetMode="External"/><Relationship Id="rId1058" Type="http://schemas.openxmlformats.org/officeDocument/2006/relationships/hyperlink" Target="http://www.plants.usda.gov/java/profile?symbol=GACO5" TargetMode="External"/><Relationship Id="rId1265" Type="http://schemas.openxmlformats.org/officeDocument/2006/relationships/hyperlink" Target="http://www.plants.usda.gov/java/profile?symbol=LIMI9" TargetMode="External"/><Relationship Id="rId1472" Type="http://schemas.openxmlformats.org/officeDocument/2006/relationships/hyperlink" Target="http://www.plants.usda.gov/java/profile?symbol=PEAT2" TargetMode="External"/><Relationship Id="rId2109" Type="http://schemas.openxmlformats.org/officeDocument/2006/relationships/hyperlink" Target="http://www.plants.usda.gov/java/profile?symbol=BREU" TargetMode="External"/><Relationship Id="rId2316" Type="http://schemas.openxmlformats.org/officeDocument/2006/relationships/hyperlink" Target="http://www.plants.usda.gov/java/profile?symbol=PRVID" TargetMode="External"/><Relationship Id="rId2523" Type="http://schemas.openxmlformats.org/officeDocument/2006/relationships/hyperlink" Target="http://www.plants.usda.gov/java/profile?symbol=CUCO3" TargetMode="External"/><Relationship Id="rId702" Type="http://schemas.openxmlformats.org/officeDocument/2006/relationships/hyperlink" Target="http://www.plants.usda.gov/java/profile?symbol=CATR" TargetMode="External"/><Relationship Id="rId1125" Type="http://schemas.openxmlformats.org/officeDocument/2006/relationships/hyperlink" Target="http://www.plants.usda.gov/java/profile?symbol=HENUR" TargetMode="External"/><Relationship Id="rId1332" Type="http://schemas.openxmlformats.org/officeDocument/2006/relationships/hyperlink" Target="http://www.plants.usda.gov/java/profile?symbol=LYALA4" TargetMode="External"/><Relationship Id="rId1777" Type="http://schemas.openxmlformats.org/officeDocument/2006/relationships/hyperlink" Target="http://www.plants.usda.gov/java/profile?symbol=SISU2" TargetMode="External"/><Relationship Id="rId1984" Type="http://schemas.openxmlformats.org/officeDocument/2006/relationships/hyperlink" Target="http://www.plants.usda.gov/java/profile?symbol=VEGI" TargetMode="External"/><Relationship Id="rId69" Type="http://schemas.openxmlformats.org/officeDocument/2006/relationships/hyperlink" Target="http://www.plants.usda.gov/java/profile?symbol=CABU6" TargetMode="External"/><Relationship Id="rId1637" Type="http://schemas.openxmlformats.org/officeDocument/2006/relationships/hyperlink" Target="http://www.plants.usda.gov/java/profile?symbol=PRVU" TargetMode="External"/><Relationship Id="rId1844" Type="http://schemas.openxmlformats.org/officeDocument/2006/relationships/hyperlink" Target="http://www.plants.usda.gov/java/profile?symbol=STNIN" TargetMode="External"/><Relationship Id="rId1704" Type="http://schemas.openxmlformats.org/officeDocument/2006/relationships/hyperlink" Target="http://www.plants.usda.gov/java/profile?symbol=RUVE3" TargetMode="External"/><Relationship Id="rId285" Type="http://schemas.openxmlformats.org/officeDocument/2006/relationships/hyperlink" Target="http://www.plants.usda.gov/java/profile?symbol=ELVI3" TargetMode="External"/><Relationship Id="rId1911" Type="http://schemas.openxmlformats.org/officeDocument/2006/relationships/hyperlink" Target="http://www.plants.usda.gov/java/profile?symbol=THBA" TargetMode="External"/><Relationship Id="rId492" Type="http://schemas.openxmlformats.org/officeDocument/2006/relationships/hyperlink" Target="http://www.plants.usda.gov/java/profile?symbol=ADMO" TargetMode="External"/><Relationship Id="rId797" Type="http://schemas.openxmlformats.org/officeDocument/2006/relationships/hyperlink" Target="http://www.plants.usda.gov/java/profile?symbol=CIIO2" TargetMode="External"/><Relationship Id="rId2173" Type="http://schemas.openxmlformats.org/officeDocument/2006/relationships/hyperlink" Target="http://www.plants.usda.gov/java/profile?symbol=DAFRF" TargetMode="External"/><Relationship Id="rId2380" Type="http://schemas.openxmlformats.org/officeDocument/2006/relationships/hyperlink" Target="http://www.plants.usda.gov/java/profile?symbol=ROCAC" TargetMode="External"/><Relationship Id="rId2478" Type="http://schemas.openxmlformats.org/officeDocument/2006/relationships/hyperlink" Target="http://www.plants.usda.gov/java/profile?symbol=ULAM" TargetMode="External"/><Relationship Id="rId145" Type="http://schemas.openxmlformats.org/officeDocument/2006/relationships/hyperlink" Target="http://www.plants.usda.gov/java/profile?symbol=CAPE4" TargetMode="External"/><Relationship Id="rId352" Type="http://schemas.openxmlformats.org/officeDocument/2006/relationships/hyperlink" Target="http://www.plants.usda.gov/java/profile?symbol=LEVI2" TargetMode="External"/><Relationship Id="rId1287" Type="http://schemas.openxmlformats.org/officeDocument/2006/relationships/hyperlink" Target="http://www.plants.usda.gov/java/profile?symbol=LIIN2" TargetMode="External"/><Relationship Id="rId2033" Type="http://schemas.openxmlformats.org/officeDocument/2006/relationships/hyperlink" Target="http://www.plants.usda.gov/java/profile?symbol=WOOR" TargetMode="External"/><Relationship Id="rId2240" Type="http://schemas.openxmlformats.org/officeDocument/2006/relationships/hyperlink" Target="http://www.plants.usda.gov/java/profile?symbol=MAPIP" TargetMode="External"/><Relationship Id="rId212" Type="http://schemas.openxmlformats.org/officeDocument/2006/relationships/hyperlink" Target="http://www.plants.usda.gov/java/profile?symbol=DIBO" TargetMode="External"/><Relationship Id="rId657" Type="http://schemas.openxmlformats.org/officeDocument/2006/relationships/hyperlink" Target="http://www.plants.usda.gov/java/profile?symbol=AUPE2" TargetMode="External"/><Relationship Id="rId864" Type="http://schemas.openxmlformats.org/officeDocument/2006/relationships/hyperlink" Target="http://www.plants.usda.gov/java/profile?symbol=CUGL3" TargetMode="External"/><Relationship Id="rId1494" Type="http://schemas.openxmlformats.org/officeDocument/2006/relationships/hyperlink" Target="http://www.plants.usda.gov/java/profile?symbol=PHDIL6" TargetMode="External"/><Relationship Id="rId1799" Type="http://schemas.openxmlformats.org/officeDocument/2006/relationships/hyperlink" Target="http://www.plants.usda.gov/java/profile?symbol=SOHIH" TargetMode="External"/><Relationship Id="rId2100" Type="http://schemas.openxmlformats.org/officeDocument/2006/relationships/hyperlink" Target="http://www.plants.usda.gov/java/profile?symbol=BEAL2" TargetMode="External"/><Relationship Id="rId2338" Type="http://schemas.openxmlformats.org/officeDocument/2006/relationships/hyperlink" Target="http://www.plants.usda.gov/java/profile?symbol=QUMU" TargetMode="External"/><Relationship Id="rId2545" Type="http://schemas.openxmlformats.org/officeDocument/2006/relationships/hyperlink" Target="http://www.plants.usda.gov/java/profile?symbol=IPHE" TargetMode="External"/><Relationship Id="rId517" Type="http://schemas.openxmlformats.org/officeDocument/2006/relationships/hyperlink" Target="http://www.plants.usda.gov/java/profile?symbol=ALTR7" TargetMode="External"/><Relationship Id="rId724" Type="http://schemas.openxmlformats.org/officeDocument/2006/relationships/hyperlink" Target="http://www.plants.usda.gov/java/profile?symbol=CAAM18" TargetMode="External"/><Relationship Id="rId931" Type="http://schemas.openxmlformats.org/officeDocument/2006/relationships/hyperlink" Target="http://www.plants.usda.gov/java/profile?symbol=DIPY" TargetMode="External"/><Relationship Id="rId1147" Type="http://schemas.openxmlformats.org/officeDocument/2006/relationships/hyperlink" Target="http://www.plants.usda.gov/java/profile?symbol=HECAC2" TargetMode="External"/><Relationship Id="rId1354" Type="http://schemas.openxmlformats.org/officeDocument/2006/relationships/hyperlink" Target="http://www.plants.usda.gov/java/profile?symbol=METR3" TargetMode="External"/><Relationship Id="rId1561" Type="http://schemas.openxmlformats.org/officeDocument/2006/relationships/hyperlink" Target="http://www.plants.usda.gov/java/profile?symbol=POVEI" TargetMode="External"/><Relationship Id="rId2405" Type="http://schemas.openxmlformats.org/officeDocument/2006/relationships/hyperlink" Target="http://www.plants.usda.gov/java/profile?symbol=RUPA" TargetMode="External"/><Relationship Id="rId60" Type="http://schemas.openxmlformats.org/officeDocument/2006/relationships/hyperlink" Target="http://www.plants.usda.gov/java/profile?symbol=CAAS2" TargetMode="External"/><Relationship Id="rId1007" Type="http://schemas.openxmlformats.org/officeDocument/2006/relationships/hyperlink" Target="http://www.plants.usda.gov/java/profile?symbol=EUPEP" TargetMode="External"/><Relationship Id="rId1214" Type="http://schemas.openxmlformats.org/officeDocument/2006/relationships/hyperlink" Target="http://www.plants.usda.gov/java/profile?symbol=LAFL" TargetMode="External"/><Relationship Id="rId1421" Type="http://schemas.openxmlformats.org/officeDocument/2006/relationships/hyperlink" Target="http://www.plants.usda.gov/java/profile?symbol=OEVI" TargetMode="External"/><Relationship Id="rId1659" Type="http://schemas.openxmlformats.org/officeDocument/2006/relationships/hyperlink" Target="http://www.plants.usda.gov/java/profile?symbol=RAGM" TargetMode="External"/><Relationship Id="rId1866" Type="http://schemas.openxmlformats.org/officeDocument/2006/relationships/hyperlink" Target="http://www.plants.usda.gov/java/profile?symbol=SYFAC" TargetMode="External"/><Relationship Id="rId1519" Type="http://schemas.openxmlformats.org/officeDocument/2006/relationships/hyperlink" Target="http://www.plants.usda.gov/java/profile?symbol=PHVI8" TargetMode="External"/><Relationship Id="rId1726" Type="http://schemas.openxmlformats.org/officeDocument/2006/relationships/hyperlink" Target="http://www.plants.usda.gov/java/profile?symbol=SACAG2" TargetMode="External"/><Relationship Id="rId1933" Type="http://schemas.openxmlformats.org/officeDocument/2006/relationships/hyperlink" Target="http://www.plants.usda.gov/java/profile?symbol=TRLE3" TargetMode="External"/><Relationship Id="rId18" Type="http://schemas.openxmlformats.org/officeDocument/2006/relationships/hyperlink" Target="http://www.plants.usda.gov/java/profile?symbol=ARLOG6" TargetMode="External"/><Relationship Id="rId2195" Type="http://schemas.openxmlformats.org/officeDocument/2006/relationships/hyperlink" Target="http://www.plants.usda.gov/java/profile?symbol=GAPUP2" TargetMode="External"/><Relationship Id="rId167" Type="http://schemas.openxmlformats.org/officeDocument/2006/relationships/hyperlink" Target="http://www.plants.usda.gov/java/profile?symbol=CAST5" TargetMode="External"/><Relationship Id="rId374" Type="http://schemas.openxmlformats.org/officeDocument/2006/relationships/hyperlink" Target="http://www.plants.usda.gov/java/profile?symbol=MUGL" TargetMode="External"/><Relationship Id="rId581" Type="http://schemas.openxmlformats.org/officeDocument/2006/relationships/hyperlink" Target="http://www.plants.usda.gov/java/profile?symbol=ARHI" TargetMode="External"/><Relationship Id="rId2055" Type="http://schemas.openxmlformats.org/officeDocument/2006/relationships/hyperlink" Target="http://www.plants.usda.gov/java/profile?symbol=ACRU" TargetMode="External"/><Relationship Id="rId2262" Type="http://schemas.openxmlformats.org/officeDocument/2006/relationships/hyperlink" Target="http://www.plants.usda.gov/java/profile?symbol=OPMAM3" TargetMode="External"/><Relationship Id="rId234" Type="http://schemas.openxmlformats.org/officeDocument/2006/relationships/hyperlink" Target="http://www.plants.usda.gov/java/profile?symbol=DIVIV" TargetMode="External"/><Relationship Id="rId679" Type="http://schemas.openxmlformats.org/officeDocument/2006/relationships/hyperlink" Target="http://www.plants.usda.gov/java/profile?symbol=BIVU" TargetMode="External"/><Relationship Id="rId886" Type="http://schemas.openxmlformats.org/officeDocument/2006/relationships/hyperlink" Target="http://www.plants.usda.gov/java/profile?symbol=CYFR2" TargetMode="External"/><Relationship Id="rId2567" Type="http://schemas.openxmlformats.org/officeDocument/2006/relationships/hyperlink" Target="http://www.plants.usda.gov/java/profile?symbol=SMHE" TargetMode="External"/><Relationship Id="rId2" Type="http://schemas.openxmlformats.org/officeDocument/2006/relationships/hyperlink" Target="http://www.plants.usda.gov/about_adv_search.html" TargetMode="External"/><Relationship Id="rId441" Type="http://schemas.openxmlformats.org/officeDocument/2006/relationships/hyperlink" Target="http://www.plants.usda.gov/java/profile?symbol=SEPA10" TargetMode="External"/><Relationship Id="rId539" Type="http://schemas.openxmlformats.org/officeDocument/2006/relationships/hyperlink" Target="http://www.plants.usda.gov/java/profile?symbol=AMBI2" TargetMode="External"/><Relationship Id="rId746" Type="http://schemas.openxmlformats.org/officeDocument/2006/relationships/hyperlink" Target="http://www.plants.usda.gov/java/profile?symbol=CHFAF" TargetMode="External"/><Relationship Id="rId1071" Type="http://schemas.openxmlformats.org/officeDocument/2006/relationships/hyperlink" Target="http://www.plants.usda.gov/java/profile?symbol=GECR2" TargetMode="External"/><Relationship Id="rId1169" Type="http://schemas.openxmlformats.org/officeDocument/2006/relationships/hyperlink" Target="http://www.plants.usda.gov/java/profile?symbol=HOPU3" TargetMode="External"/><Relationship Id="rId1376" Type="http://schemas.openxmlformats.org/officeDocument/2006/relationships/hyperlink" Target="http://www.plants.usda.gov/java/profile?symbol=MOFI" TargetMode="External"/><Relationship Id="rId1583" Type="http://schemas.openxmlformats.org/officeDocument/2006/relationships/hyperlink" Target="http://www.plants.usda.gov/java/profile?symbol=POSA5" TargetMode="External"/><Relationship Id="rId2122" Type="http://schemas.openxmlformats.org/officeDocument/2006/relationships/hyperlink" Target="http://www.plants.usda.gov/java/profile?symbol=CADE12" TargetMode="External"/><Relationship Id="rId2427" Type="http://schemas.openxmlformats.org/officeDocument/2006/relationships/hyperlink" Target="http://www.plants.usda.gov/java/profile?symbol=SAHU2" TargetMode="External"/><Relationship Id="rId301" Type="http://schemas.openxmlformats.org/officeDocument/2006/relationships/hyperlink" Target="http://www.plants.usda.gov/java/profile?symbol=ERGRG2" TargetMode="External"/><Relationship Id="rId953" Type="http://schemas.openxmlformats.org/officeDocument/2006/relationships/hyperlink" Target="http://www.plants.usda.gov/java/profile?symbol=ECAN2" TargetMode="External"/><Relationship Id="rId1029" Type="http://schemas.openxmlformats.org/officeDocument/2006/relationships/hyperlink" Target="http://www.plants.usda.gov/java/profile?symbol=FIRU2" TargetMode="External"/><Relationship Id="rId1236" Type="http://schemas.openxmlformats.org/officeDocument/2006/relationships/hyperlink" Target="http://www.plants.usda.gov/java/profile?symbol=LEPE" TargetMode="External"/><Relationship Id="rId1790" Type="http://schemas.openxmlformats.org/officeDocument/2006/relationships/hyperlink" Target="http://www.plants.usda.gov/java/profile?symbol=SOTR" TargetMode="External"/><Relationship Id="rId1888" Type="http://schemas.openxmlformats.org/officeDocument/2006/relationships/hyperlink" Target="http://www.plants.usda.gov/java/profile?symbol=SYPR5" TargetMode="External"/><Relationship Id="rId82" Type="http://schemas.openxmlformats.org/officeDocument/2006/relationships/hyperlink" Target="http://www.plants.usda.gov/java/profile?symbol=CACRC2" TargetMode="External"/><Relationship Id="rId606" Type="http://schemas.openxmlformats.org/officeDocument/2006/relationships/hyperlink" Target="http://www.plants.usda.gov/java/profile?symbol=ARCAC" TargetMode="External"/><Relationship Id="rId813" Type="http://schemas.openxmlformats.org/officeDocument/2006/relationships/hyperlink" Target="http://www.plants.usda.gov/java/profile?symbol=COERA" TargetMode="External"/><Relationship Id="rId1443" Type="http://schemas.openxmlformats.org/officeDocument/2006/relationships/hyperlink" Target="http://www.plants.usda.gov/java/profile?symbol=OSRE" TargetMode="External"/><Relationship Id="rId1650" Type="http://schemas.openxmlformats.org/officeDocument/2006/relationships/hyperlink" Target="http://www.plants.usda.gov/java/profile?symbol=PYVEP" TargetMode="External"/><Relationship Id="rId1748" Type="http://schemas.openxmlformats.org/officeDocument/2006/relationships/hyperlink" Target="http://www.plants.usda.gov/java/profile?symbol=SERU" TargetMode="External"/><Relationship Id="rId1303" Type="http://schemas.openxmlformats.org/officeDocument/2006/relationships/hyperlink" Target="http://www.plants.usda.gov/java/profile?symbol=LOOR" TargetMode="External"/><Relationship Id="rId1510" Type="http://schemas.openxmlformats.org/officeDocument/2006/relationships/hyperlink" Target="http://www.plants.usda.gov/java/profile?symbol=PHLOL3" TargetMode="External"/><Relationship Id="rId1955" Type="http://schemas.openxmlformats.org/officeDocument/2006/relationships/hyperlink" Target="http://www.plants.usda.gov/java/profile?symbol=VEVI5" TargetMode="External"/><Relationship Id="rId1608" Type="http://schemas.openxmlformats.org/officeDocument/2006/relationships/hyperlink" Target="http://www.plants.usda.gov/java/profile?symbol=POPUP5" TargetMode="External"/><Relationship Id="rId1815" Type="http://schemas.openxmlformats.org/officeDocument/2006/relationships/hyperlink" Target="http://www.plants.usda.gov/java/profile?symbol=SOUL2" TargetMode="External"/><Relationship Id="rId189" Type="http://schemas.openxmlformats.org/officeDocument/2006/relationships/hyperlink" Target="http://www.plants.usda.gov/java/profile?symbol=CAAQA6" TargetMode="External"/><Relationship Id="rId396" Type="http://schemas.openxmlformats.org/officeDocument/2006/relationships/hyperlink" Target="http://www.plants.usda.gov/java/profile?symbol=PASE5" TargetMode="External"/><Relationship Id="rId2077" Type="http://schemas.openxmlformats.org/officeDocument/2006/relationships/hyperlink" Target="http://www.plants.usda.gov/java/profile?symbol=AMHU2" TargetMode="External"/><Relationship Id="rId2284" Type="http://schemas.openxmlformats.org/officeDocument/2006/relationships/hyperlink" Target="http://www.plants.usda.gov/java/profile?symbol=PHOP" TargetMode="External"/><Relationship Id="rId2491" Type="http://schemas.openxmlformats.org/officeDocument/2006/relationships/hyperlink" Target="http://www.plants.usda.gov/java/profile?symbol=YUGL" TargetMode="External"/><Relationship Id="rId256" Type="http://schemas.openxmlformats.org/officeDocument/2006/relationships/hyperlink" Target="http://www.plants.usda.gov/java/profile?symbol=ELER" TargetMode="External"/><Relationship Id="rId463" Type="http://schemas.openxmlformats.org/officeDocument/2006/relationships/hyperlink" Target="http://www.plants.usda.gov/java/profile?symbol=VUOCG" TargetMode="External"/><Relationship Id="rId670" Type="http://schemas.openxmlformats.org/officeDocument/2006/relationships/hyperlink" Target="http://www.plants.usda.gov/java/profile?symbol=BIAR" TargetMode="External"/><Relationship Id="rId1093" Type="http://schemas.openxmlformats.org/officeDocument/2006/relationships/hyperlink" Target="http://www.plants.usda.gov/java/profile?symbol=GRSQ" TargetMode="External"/><Relationship Id="rId2144" Type="http://schemas.openxmlformats.org/officeDocument/2006/relationships/hyperlink" Target="http://www.plants.usda.gov/java/profile?symbol=CORA6" TargetMode="External"/><Relationship Id="rId2351" Type="http://schemas.openxmlformats.org/officeDocument/2006/relationships/hyperlink" Target="http://www.plants.usda.gov/java/profile?symbol=RHLAL3" TargetMode="External"/><Relationship Id="rId2589" Type="http://schemas.openxmlformats.org/officeDocument/2006/relationships/hyperlink" Target="http://www.plants.usda.gov/java/profile?symbol=WIFR" TargetMode="External"/><Relationship Id="rId116" Type="http://schemas.openxmlformats.org/officeDocument/2006/relationships/hyperlink" Target="http://www.plants.usda.gov/java/profile?symbol=CAJA2" TargetMode="External"/><Relationship Id="rId323" Type="http://schemas.openxmlformats.org/officeDocument/2006/relationships/hyperlink" Target="http://www.plants.usda.gov/java/profile?symbol=HOJU" TargetMode="External"/><Relationship Id="rId530" Type="http://schemas.openxmlformats.org/officeDocument/2006/relationships/hyperlink" Target="http://www.plants.usda.gov/java/profile?symbol=AMAR" TargetMode="External"/><Relationship Id="rId768" Type="http://schemas.openxmlformats.org/officeDocument/2006/relationships/hyperlink" Target="http://www.plants.usda.gov/java/profile?symbol=CHBEB2" TargetMode="External"/><Relationship Id="rId975" Type="http://schemas.openxmlformats.org/officeDocument/2006/relationships/hyperlink" Target="http://www.plants.usda.gov/java/profile?symbol=EQHY" TargetMode="External"/><Relationship Id="rId1160" Type="http://schemas.openxmlformats.org/officeDocument/2006/relationships/hyperlink" Target="http://www.plants.usda.gov/java/profile?symbol=HIKAK2" TargetMode="External"/><Relationship Id="rId1398" Type="http://schemas.openxmlformats.org/officeDocument/2006/relationships/hyperlink" Target="http://www.plants.usda.gov/java/profile?symbol=NAGUO2" TargetMode="External"/><Relationship Id="rId2004" Type="http://schemas.openxmlformats.org/officeDocument/2006/relationships/hyperlink" Target="http://www.plants.usda.gov/java/profile?symbol=VICA4" TargetMode="External"/><Relationship Id="rId2211" Type="http://schemas.openxmlformats.org/officeDocument/2006/relationships/hyperlink" Target="http://www.plants.usda.gov/java/profile?symbol=HUTOT" TargetMode="External"/><Relationship Id="rId2449" Type="http://schemas.openxmlformats.org/officeDocument/2006/relationships/hyperlink" Target="http://www.plants.usda.gov/java/profile?symbol=SMTA2" TargetMode="External"/><Relationship Id="rId628" Type="http://schemas.openxmlformats.org/officeDocument/2006/relationships/hyperlink" Target="http://www.plants.usda.gov/java/profile?symbol=ASST" TargetMode="External"/><Relationship Id="rId835" Type="http://schemas.openxmlformats.org/officeDocument/2006/relationships/hyperlink" Target="http://www.plants.usda.gov/java/profile?symbol=COAU2" TargetMode="External"/><Relationship Id="rId1258" Type="http://schemas.openxmlformats.org/officeDocument/2006/relationships/hyperlink" Target="http://www.plants.usda.gov/java/profile?symbol=LIPUP" TargetMode="External"/><Relationship Id="rId1465" Type="http://schemas.openxmlformats.org/officeDocument/2006/relationships/hyperlink" Target="http://www.plants.usda.gov/java/profile?symbol=PAIN3" TargetMode="External"/><Relationship Id="rId1672" Type="http://schemas.openxmlformats.org/officeDocument/2006/relationships/hyperlink" Target="http://www.plants.usda.gov/java/profile?symbol=RATR" TargetMode="External"/><Relationship Id="rId2309" Type="http://schemas.openxmlformats.org/officeDocument/2006/relationships/hyperlink" Target="http://www.plants.usda.gov/java/profile?symbol=PRPEP" TargetMode="External"/><Relationship Id="rId2516" Type="http://schemas.openxmlformats.org/officeDocument/2006/relationships/hyperlink" Target="http://www.plants.usda.gov/java/profile?symbol=CLPIP" TargetMode="External"/><Relationship Id="rId1020" Type="http://schemas.openxmlformats.org/officeDocument/2006/relationships/hyperlink" Target="http://www.plants.usda.gov/java/profile?symbol=EUHE5" TargetMode="External"/><Relationship Id="rId1118" Type="http://schemas.openxmlformats.org/officeDocument/2006/relationships/hyperlink" Target="http://www.plants.usda.gov/java/profile?symbol=HEGR4" TargetMode="External"/><Relationship Id="rId1325" Type="http://schemas.openxmlformats.org/officeDocument/2006/relationships/hyperlink" Target="http://www.plants.usda.gov/java/profile?symbol=LYCI" TargetMode="External"/><Relationship Id="rId1532" Type="http://schemas.openxmlformats.org/officeDocument/2006/relationships/hyperlink" Target="http://www.plants.usda.gov/java/profile?symbol=PLRU" TargetMode="External"/><Relationship Id="rId1977" Type="http://schemas.openxmlformats.org/officeDocument/2006/relationships/hyperlink" Target="http://www.plants.usda.gov/java/profile?symbol=VEVI3" TargetMode="External"/><Relationship Id="rId902" Type="http://schemas.openxmlformats.org/officeDocument/2006/relationships/hyperlink" Target="http://www.plants.usda.gov/java/profile?symbol=DAWR2" TargetMode="External"/><Relationship Id="rId1837" Type="http://schemas.openxmlformats.org/officeDocument/2006/relationships/hyperlink" Target="http://www.plants.usda.gov/java/profile?symbol=STPI6" TargetMode="External"/><Relationship Id="rId31" Type="http://schemas.openxmlformats.org/officeDocument/2006/relationships/hyperlink" Target="http://www.plants.usda.gov/java/profile?symbol=BOHIH" TargetMode="External"/><Relationship Id="rId2099" Type="http://schemas.openxmlformats.org/officeDocument/2006/relationships/hyperlink" Target="http://www.plants.usda.gov/java/profile?symbol=ASMIM5" TargetMode="External"/><Relationship Id="rId180" Type="http://schemas.openxmlformats.org/officeDocument/2006/relationships/hyperlink" Target="http://www.plants.usda.gov/java/profile?symbol=CATY" TargetMode="External"/><Relationship Id="rId278" Type="http://schemas.openxmlformats.org/officeDocument/2006/relationships/hyperlink" Target="http://www.plants.usda.gov/java/profile?symbol=ELMA4" TargetMode="External"/><Relationship Id="rId1904" Type="http://schemas.openxmlformats.org/officeDocument/2006/relationships/hyperlink" Target="http://www.plants.usda.gov/java/profile?symbol=TECA3" TargetMode="External"/><Relationship Id="rId485" Type="http://schemas.openxmlformats.org/officeDocument/2006/relationships/hyperlink" Target="http://www.plants.usda.gov/java/profile?symbol=ACPA" TargetMode="External"/><Relationship Id="rId692" Type="http://schemas.openxmlformats.org/officeDocument/2006/relationships/hyperlink" Target="http://www.plants.usda.gov/java/profile?symbol=BOSI" TargetMode="External"/><Relationship Id="rId2166" Type="http://schemas.openxmlformats.org/officeDocument/2006/relationships/hyperlink" Target="http://www.plants.usda.gov/java/profile?symbol=DACAC" TargetMode="External"/><Relationship Id="rId2373" Type="http://schemas.openxmlformats.org/officeDocument/2006/relationships/hyperlink" Target="http://www.plants.usda.gov/java/profile?symbol=ROAC" TargetMode="External"/><Relationship Id="rId2580" Type="http://schemas.openxmlformats.org/officeDocument/2006/relationships/hyperlink" Target="http://www.plants.usda.gov/java/profile?symbol=VIAMA3" TargetMode="External"/><Relationship Id="rId138" Type="http://schemas.openxmlformats.org/officeDocument/2006/relationships/hyperlink" Target="http://www.plants.usda.gov/java/profile?symbol=CAMUM" TargetMode="External"/><Relationship Id="rId345" Type="http://schemas.openxmlformats.org/officeDocument/2006/relationships/hyperlink" Target="http://www.plants.usda.gov/java/profile?symbol=JUNON" TargetMode="External"/><Relationship Id="rId552" Type="http://schemas.openxmlformats.org/officeDocument/2006/relationships/hyperlink" Target="http://www.plants.usda.gov/java/profile?symbol=ANARF" TargetMode="External"/><Relationship Id="rId997" Type="http://schemas.openxmlformats.org/officeDocument/2006/relationships/hyperlink" Target="http://www.plants.usda.gov/java/profile?symbol=ERINI6" TargetMode="External"/><Relationship Id="rId1182" Type="http://schemas.openxmlformats.org/officeDocument/2006/relationships/hyperlink" Target="http://www.plants.usda.gov/java/profile?symbol=HYAS80" TargetMode="External"/><Relationship Id="rId2026" Type="http://schemas.openxmlformats.org/officeDocument/2006/relationships/hyperlink" Target="http://www.plants.usda.gov/java/profile?symbol=VIVI10" TargetMode="External"/><Relationship Id="rId2233" Type="http://schemas.openxmlformats.org/officeDocument/2006/relationships/hyperlink" Target="http://www.plants.usda.gov/java/profile?symbol=LYIN2" TargetMode="External"/><Relationship Id="rId2440" Type="http://schemas.openxmlformats.org/officeDocument/2006/relationships/hyperlink" Target="http://www.plants.usda.gov/java/profile?symbol=SARA2" TargetMode="External"/><Relationship Id="rId205" Type="http://schemas.openxmlformats.org/officeDocument/2006/relationships/hyperlink" Target="http://www.plants.usda.gov/java/profile?symbol=CYST" TargetMode="External"/><Relationship Id="rId412" Type="http://schemas.openxmlformats.org/officeDocument/2006/relationships/hyperlink" Target="http://www.plants.usda.gov/java/profile?symbol=RHCA11" TargetMode="External"/><Relationship Id="rId857" Type="http://schemas.openxmlformats.org/officeDocument/2006/relationships/hyperlink" Target="http://www.plants.usda.gov/java/profile?symbol=CUFO" TargetMode="External"/><Relationship Id="rId1042" Type="http://schemas.openxmlformats.org/officeDocument/2006/relationships/hyperlink" Target="http://www.plants.usda.gov/java/profile?symbol=GASP5" TargetMode="External"/><Relationship Id="rId1487" Type="http://schemas.openxmlformats.org/officeDocument/2006/relationships/hyperlink" Target="http://www.plants.usda.gov/java/profile?symbol=PHPO2" TargetMode="External"/><Relationship Id="rId1694" Type="http://schemas.openxmlformats.org/officeDocument/2006/relationships/hyperlink" Target="http://www.plants.usda.gov/java/profile?symbol=RUAL4" TargetMode="External"/><Relationship Id="rId2300" Type="http://schemas.openxmlformats.org/officeDocument/2006/relationships/hyperlink" Target="http://www.plants.usda.gov/java/profile?symbol=PORO4" TargetMode="External"/><Relationship Id="rId2538" Type="http://schemas.openxmlformats.org/officeDocument/2006/relationships/hyperlink" Target="http://www.plants.usda.gov/java/profile?symbol=GATR2" TargetMode="External"/><Relationship Id="rId717" Type="http://schemas.openxmlformats.org/officeDocument/2006/relationships/hyperlink" Target="http://www.plants.usda.gov/java/profile?symbol=CASP14" TargetMode="External"/><Relationship Id="rId924" Type="http://schemas.openxmlformats.org/officeDocument/2006/relationships/hyperlink" Target="http://www.plants.usda.gov/java/profile?symbol=DICA" TargetMode="External"/><Relationship Id="rId1347" Type="http://schemas.openxmlformats.org/officeDocument/2006/relationships/hyperlink" Target="http://www.plants.usda.gov/java/profile?symbol=MAHI" TargetMode="External"/><Relationship Id="rId1554" Type="http://schemas.openxmlformats.org/officeDocument/2006/relationships/hyperlink" Target="http://www.plants.usda.gov/java/profile?symbol=POCR" TargetMode="External"/><Relationship Id="rId1761" Type="http://schemas.openxmlformats.org/officeDocument/2006/relationships/hyperlink" Target="http://www.plants.usda.gov/java/profile?symbol=SIVI4" TargetMode="External"/><Relationship Id="rId1999" Type="http://schemas.openxmlformats.org/officeDocument/2006/relationships/hyperlink" Target="http://www.plants.usda.gov/java/profile?symbol=VIADA" TargetMode="External"/><Relationship Id="rId53" Type="http://schemas.openxmlformats.org/officeDocument/2006/relationships/hyperlink" Target="http://www.plants.usda.gov/java/profile?symbol=CAAL25" TargetMode="External"/><Relationship Id="rId1207" Type="http://schemas.openxmlformats.org/officeDocument/2006/relationships/hyperlink" Target="http://www.plants.usda.gov/java/profile?symbol=JUAM" TargetMode="External"/><Relationship Id="rId1414" Type="http://schemas.openxmlformats.org/officeDocument/2006/relationships/hyperlink" Target="http://www.plants.usda.gov/java/profile?symbol=OELA" TargetMode="External"/><Relationship Id="rId1621" Type="http://schemas.openxmlformats.org/officeDocument/2006/relationships/hyperlink" Target="http://www.plants.usda.gov/java/profile?symbol=PONOM" TargetMode="External"/><Relationship Id="rId1859" Type="http://schemas.openxmlformats.org/officeDocument/2006/relationships/hyperlink" Target="http://www.plants.usda.gov/java/profile?symbol=SYDR" TargetMode="External"/><Relationship Id="rId1719" Type="http://schemas.openxmlformats.org/officeDocument/2006/relationships/hyperlink" Target="http://www.plants.usda.gov/java/profile?symbol=SAAZ" TargetMode="External"/><Relationship Id="rId1926" Type="http://schemas.openxmlformats.org/officeDocument/2006/relationships/hyperlink" Target="http://www.plants.usda.gov/java/profile?symbol=TRBR5" TargetMode="External"/><Relationship Id="rId2090" Type="http://schemas.openxmlformats.org/officeDocument/2006/relationships/hyperlink" Target="http://www.plants.usda.gov/java/profile?symbol=ARUV" TargetMode="External"/><Relationship Id="rId2188" Type="http://schemas.openxmlformats.org/officeDocument/2006/relationships/hyperlink" Target="http://www.plants.usda.gov/java/profile?symbol=EUMAM3" TargetMode="External"/><Relationship Id="rId2395" Type="http://schemas.openxmlformats.org/officeDocument/2006/relationships/hyperlink" Target="http://www.plants.usda.gov/java/profile?symbol=RUFR4" TargetMode="External"/><Relationship Id="rId367" Type="http://schemas.openxmlformats.org/officeDocument/2006/relationships/hyperlink" Target="http://www.plants.usda.gov/java/profile?symbol=MIEF" TargetMode="External"/><Relationship Id="rId574" Type="http://schemas.openxmlformats.org/officeDocument/2006/relationships/hyperlink" Target="http://www.plants.usda.gov/java/profile?symbol=APCA" TargetMode="External"/><Relationship Id="rId2048" Type="http://schemas.openxmlformats.org/officeDocument/2006/relationships/hyperlink" Target="http://www.plants.usda.gov/about_adv_search.html" TargetMode="External"/><Relationship Id="rId2255" Type="http://schemas.openxmlformats.org/officeDocument/2006/relationships/hyperlink" Target="http://www.plants.usda.gov/java/profile?symbol=MOPUV" TargetMode="External"/><Relationship Id="rId227" Type="http://schemas.openxmlformats.org/officeDocument/2006/relationships/hyperlink" Target="http://www.plants.usda.gov/java/profile?symbol=DIRA" TargetMode="External"/><Relationship Id="rId781" Type="http://schemas.openxmlformats.org/officeDocument/2006/relationships/hyperlink" Target="http://www.plants.usda.gov/java/profile?symbol=CHAM2" TargetMode="External"/><Relationship Id="rId879" Type="http://schemas.openxmlformats.org/officeDocument/2006/relationships/hyperlink" Target="http://www.plants.usda.gov/java/profile?symbol=CYANF" TargetMode="External"/><Relationship Id="rId2462" Type="http://schemas.openxmlformats.org/officeDocument/2006/relationships/hyperlink" Target="http://www.plants.usda.gov/java/profile?symbol=SYOC" TargetMode="External"/><Relationship Id="rId434" Type="http://schemas.openxmlformats.org/officeDocument/2006/relationships/hyperlink" Target="http://www.plants.usda.gov/java/profile?symbol=SCPA8" TargetMode="External"/><Relationship Id="rId641" Type="http://schemas.openxmlformats.org/officeDocument/2006/relationships/hyperlink" Target="http://www.plants.usda.gov/java/profile?symbol=ASCR2" TargetMode="External"/><Relationship Id="rId739" Type="http://schemas.openxmlformats.org/officeDocument/2006/relationships/hyperlink" Target="http://www.plants.usda.gov/java/profile?symbol=CEBR3" TargetMode="External"/><Relationship Id="rId1064" Type="http://schemas.openxmlformats.org/officeDocument/2006/relationships/hyperlink" Target="http://www.plants.usda.gov/java/profile?symbol=GEAND" TargetMode="External"/><Relationship Id="rId1271" Type="http://schemas.openxmlformats.org/officeDocument/2006/relationships/hyperlink" Target="http://www.plants.usda.gov/java/profile?symbol=LIDUD" TargetMode="External"/><Relationship Id="rId1369" Type="http://schemas.openxmlformats.org/officeDocument/2006/relationships/hyperlink" Target="http://www.plants.usda.gov/java/profile?symbol=MIRE" TargetMode="External"/><Relationship Id="rId1576" Type="http://schemas.openxmlformats.org/officeDocument/2006/relationships/hyperlink" Target="http://www.plants.usda.gov/java/profile?symbol=POLA4" TargetMode="External"/><Relationship Id="rId2115" Type="http://schemas.openxmlformats.org/officeDocument/2006/relationships/hyperlink" Target="http://www.plants.usda.gov/java/profile?symbol=CACO15" TargetMode="External"/><Relationship Id="rId2322" Type="http://schemas.openxmlformats.org/officeDocument/2006/relationships/hyperlink" Target="http://www.plants.usda.gov/java/profile?symbol=PYEL" TargetMode="External"/><Relationship Id="rId501" Type="http://schemas.openxmlformats.org/officeDocument/2006/relationships/hyperlink" Target="http://www.plants.usda.gov/java/profile?symbol=AGTE3" TargetMode="External"/><Relationship Id="rId946" Type="http://schemas.openxmlformats.org/officeDocument/2006/relationships/hyperlink" Target="http://www.plants.usda.gov/java/profile?symbol=DRCR4" TargetMode="External"/><Relationship Id="rId1131" Type="http://schemas.openxmlformats.org/officeDocument/2006/relationships/hyperlink" Target="http://www.plants.usda.gov/java/profile?symbol=HEPE" TargetMode="External"/><Relationship Id="rId1229" Type="http://schemas.openxmlformats.org/officeDocument/2006/relationships/hyperlink" Target="http://www.plants.usda.gov/java/profile?symbol=LEMU3" TargetMode="External"/><Relationship Id="rId1783" Type="http://schemas.openxmlformats.org/officeDocument/2006/relationships/hyperlink" Target="http://www.plants.usda.gov/java/profile?symbol=SOCAC4" TargetMode="External"/><Relationship Id="rId1990" Type="http://schemas.openxmlformats.org/officeDocument/2006/relationships/hyperlink" Target="http://www.plants.usda.gov/java/profile?symbol=VEPEP" TargetMode="External"/><Relationship Id="rId75" Type="http://schemas.openxmlformats.org/officeDocument/2006/relationships/hyperlink" Target="http://www.plants.usda.gov/java/profile?symbol=CACOC4" TargetMode="External"/><Relationship Id="rId806" Type="http://schemas.openxmlformats.org/officeDocument/2006/relationships/hyperlink" Target="http://www.plants.usda.gov/java/profile?symbol=CLMA4" TargetMode="External"/><Relationship Id="rId1436" Type="http://schemas.openxmlformats.org/officeDocument/2006/relationships/hyperlink" Target="http://www.plants.usda.gov/java/profile?symbol=ORLUL2" TargetMode="External"/><Relationship Id="rId1643" Type="http://schemas.openxmlformats.org/officeDocument/2006/relationships/hyperlink" Target="http://www.plants.usda.gov/java/profile?symbol=PSTE5" TargetMode="External"/><Relationship Id="rId1850" Type="http://schemas.openxmlformats.org/officeDocument/2006/relationships/hyperlink" Target="http://www.plants.usda.gov/java/profile?symbol=STFIO" TargetMode="External"/><Relationship Id="rId1503" Type="http://schemas.openxmlformats.org/officeDocument/2006/relationships/hyperlink" Target="http://www.plants.usda.gov/java/profile?symbol=PHLE5" TargetMode="External"/><Relationship Id="rId1710" Type="http://schemas.openxmlformats.org/officeDocument/2006/relationships/hyperlink" Target="http://www.plants.usda.gov/java/profile?symbol=SACA21" TargetMode="External"/><Relationship Id="rId1948" Type="http://schemas.openxmlformats.org/officeDocument/2006/relationships/hyperlink" Target="http://www.plants.usda.gov/java/profile?symbol=UTMA" TargetMode="External"/><Relationship Id="rId291" Type="http://schemas.openxmlformats.org/officeDocument/2006/relationships/hyperlink" Target="http://www.plants.usda.gov/java/profile?symbol=ERME" TargetMode="External"/><Relationship Id="rId1808" Type="http://schemas.openxmlformats.org/officeDocument/2006/relationships/hyperlink" Target="http://www.plants.usda.gov/java/profile?symbol=SOPAP" TargetMode="External"/><Relationship Id="rId151" Type="http://schemas.openxmlformats.org/officeDocument/2006/relationships/hyperlink" Target="http://www.plants.usda.gov/java/profile?symbol=CAPR9" TargetMode="External"/><Relationship Id="rId389" Type="http://schemas.openxmlformats.org/officeDocument/2006/relationships/hyperlink" Target="http://www.plants.usda.gov/java/profile?symbol=PAFL2" TargetMode="External"/><Relationship Id="rId596" Type="http://schemas.openxmlformats.org/officeDocument/2006/relationships/hyperlink" Target="http://www.plants.usda.gov/java/profile?symbol=ARDR3" TargetMode="External"/><Relationship Id="rId2277" Type="http://schemas.openxmlformats.org/officeDocument/2006/relationships/hyperlink" Target="http://www.plants.usda.gov/java/profile?symbol=PHPI" TargetMode="External"/><Relationship Id="rId2484" Type="http://schemas.openxmlformats.org/officeDocument/2006/relationships/hyperlink" Target="http://www.plants.usda.gov/java/profile?symbol=VIDED4" TargetMode="External"/><Relationship Id="rId249" Type="http://schemas.openxmlformats.org/officeDocument/2006/relationships/hyperlink" Target="http://www.plants.usda.gov/java/profile?symbol=ELAC" TargetMode="External"/><Relationship Id="rId456" Type="http://schemas.openxmlformats.org/officeDocument/2006/relationships/hyperlink" Target="http://www.plants.usda.gov/java/profile?symbol=TRFLF" TargetMode="External"/><Relationship Id="rId663" Type="http://schemas.openxmlformats.org/officeDocument/2006/relationships/hyperlink" Target="http://www.plants.usda.gov/java/profile?symbol=BAAU" TargetMode="External"/><Relationship Id="rId870" Type="http://schemas.openxmlformats.org/officeDocument/2006/relationships/hyperlink" Target="http://www.plants.usda.gov/java/profile?symbol=CUPEP2" TargetMode="External"/><Relationship Id="rId1086" Type="http://schemas.openxmlformats.org/officeDocument/2006/relationships/hyperlink" Target="http://www.plants.usda.gov/java/profile?symbol=GLCA2" TargetMode="External"/><Relationship Id="rId1293" Type="http://schemas.openxmlformats.org/officeDocument/2006/relationships/hyperlink" Target="http://www.plants.usda.gov/java/profile?symbol=LOSIL" TargetMode="External"/><Relationship Id="rId2137" Type="http://schemas.openxmlformats.org/officeDocument/2006/relationships/hyperlink" Target="http://www.plants.usda.gov/java/profile?symbol=COUM" TargetMode="External"/><Relationship Id="rId2344" Type="http://schemas.openxmlformats.org/officeDocument/2006/relationships/hyperlink" Target="http://www.plants.usda.gov/java/profile?symbol=QURUR" TargetMode="External"/><Relationship Id="rId2551" Type="http://schemas.openxmlformats.org/officeDocument/2006/relationships/hyperlink" Target="http://www.plants.usda.gov/java/profile?symbol=LODI2" TargetMode="External"/><Relationship Id="rId109" Type="http://schemas.openxmlformats.org/officeDocument/2006/relationships/hyperlink" Target="http://www.plants.usda.gov/java/profile?symbol=CAHI8" TargetMode="External"/><Relationship Id="rId316" Type="http://schemas.openxmlformats.org/officeDocument/2006/relationships/hyperlink" Target="http://www.plants.usda.gov/java/profile?symbol=GLSE3" TargetMode="External"/><Relationship Id="rId523" Type="http://schemas.openxmlformats.org/officeDocument/2006/relationships/hyperlink" Target="http://www.plants.usda.gov/java/profile?symbol=ALCE2" TargetMode="External"/><Relationship Id="rId968" Type="http://schemas.openxmlformats.org/officeDocument/2006/relationships/hyperlink" Target="http://www.plants.usda.gov/java/profile?symbol=EPCO" TargetMode="External"/><Relationship Id="rId1153" Type="http://schemas.openxmlformats.org/officeDocument/2006/relationships/hyperlink" Target="http://www.plants.usda.gov/java/profile?symbol=HEVIV" TargetMode="External"/><Relationship Id="rId1598" Type="http://schemas.openxmlformats.org/officeDocument/2006/relationships/hyperlink" Target="http://www.plants.usda.gov/java/profile?symbol=POEP2" TargetMode="External"/><Relationship Id="rId2204" Type="http://schemas.openxmlformats.org/officeDocument/2006/relationships/hyperlink" Target="http://www.plants.usda.gov/java/profile?symbol=HECA3" TargetMode="External"/><Relationship Id="rId97" Type="http://schemas.openxmlformats.org/officeDocument/2006/relationships/hyperlink" Target="http://www.plants.usda.gov/java/profile?symbol=CAFR3" TargetMode="External"/><Relationship Id="rId730" Type="http://schemas.openxmlformats.org/officeDocument/2006/relationships/hyperlink" Target="http://www.plants.usda.gov/java/profile?symbol=CAPE3" TargetMode="External"/><Relationship Id="rId828" Type="http://schemas.openxmlformats.org/officeDocument/2006/relationships/hyperlink" Target="http://www.plants.usda.gov/java/profile?symbol=COPA10" TargetMode="External"/><Relationship Id="rId1013" Type="http://schemas.openxmlformats.org/officeDocument/2006/relationships/hyperlink" Target="http://www.plants.usda.gov/java/profile?symbol=EUSEB" TargetMode="External"/><Relationship Id="rId1360" Type="http://schemas.openxmlformats.org/officeDocument/2006/relationships/hyperlink" Target="http://www.plants.usda.gov/java/profile?symbol=MIGL" TargetMode="External"/><Relationship Id="rId1458" Type="http://schemas.openxmlformats.org/officeDocument/2006/relationships/hyperlink" Target="http://www.plants.usda.gov/java/profile?symbol=PAPSS" TargetMode="External"/><Relationship Id="rId1665" Type="http://schemas.openxmlformats.org/officeDocument/2006/relationships/hyperlink" Target="http://www.plants.usda.gov/java/profile?symbol=RAPE2" TargetMode="External"/><Relationship Id="rId1872" Type="http://schemas.openxmlformats.org/officeDocument/2006/relationships/hyperlink" Target="http://www.plants.usda.gov/java/profile?symbol=SYLAH6" TargetMode="External"/><Relationship Id="rId2411" Type="http://schemas.openxmlformats.org/officeDocument/2006/relationships/hyperlink" Target="http://www.plants.usda.gov/java/profile?symbol=RURE" TargetMode="External"/><Relationship Id="rId2509" Type="http://schemas.openxmlformats.org/officeDocument/2006/relationships/hyperlink" Target="http://www.plants.usda.gov/java/profile?symbol=CASPS2" TargetMode="External"/><Relationship Id="rId1220" Type="http://schemas.openxmlformats.org/officeDocument/2006/relationships/hyperlink" Target="http://www.plants.usda.gov/java/profile?symbol=LACA3" TargetMode="External"/><Relationship Id="rId1318" Type="http://schemas.openxmlformats.org/officeDocument/2006/relationships/hyperlink" Target="http://www.plants.usda.gov/java/profile?symbol=LYAM" TargetMode="External"/><Relationship Id="rId1525" Type="http://schemas.openxmlformats.org/officeDocument/2006/relationships/hyperlink" Target="http://www.plants.usda.gov/java/profile?symbol=PIPU2" TargetMode="External"/><Relationship Id="rId1732" Type="http://schemas.openxmlformats.org/officeDocument/2006/relationships/hyperlink" Target="http://www.plants.usda.gov/java/profile?symbol=SCPAA3" TargetMode="External"/><Relationship Id="rId24" Type="http://schemas.openxmlformats.org/officeDocument/2006/relationships/hyperlink" Target="http://www.plants.usda.gov/java/profile?symbol=ARTU" TargetMode="External"/><Relationship Id="rId2299" Type="http://schemas.openxmlformats.org/officeDocument/2006/relationships/hyperlink" Target="http://www.plants.usda.gov/java/profile?symbol=POJA2" TargetMode="External"/><Relationship Id="rId173" Type="http://schemas.openxmlformats.org/officeDocument/2006/relationships/hyperlink" Target="http://www.plants.usda.gov/java/profile?symbol=CATE6" TargetMode="External"/><Relationship Id="rId380" Type="http://schemas.openxmlformats.org/officeDocument/2006/relationships/hyperlink" Target="http://www.plants.usda.gov/java/profile?symbol=MUSY" TargetMode="External"/><Relationship Id="rId2061" Type="http://schemas.openxmlformats.org/officeDocument/2006/relationships/hyperlink" Target="http://www.plants.usda.gov/java/profile?symbol=AEGL" TargetMode="External"/><Relationship Id="rId240" Type="http://schemas.openxmlformats.org/officeDocument/2006/relationships/hyperlink" Target="http://www.plants.usda.gov/java/profile?symbol=DIFI" TargetMode="External"/><Relationship Id="rId478" Type="http://schemas.openxmlformats.org/officeDocument/2006/relationships/hyperlink" Target="http://www.plants.usda.gov/java/profile?symbol=ACMI2" TargetMode="External"/><Relationship Id="rId685" Type="http://schemas.openxmlformats.org/officeDocument/2006/relationships/hyperlink" Target="http://www.plants.usda.gov/java/profile?symbol=BOASL" TargetMode="External"/><Relationship Id="rId892" Type="http://schemas.openxmlformats.org/officeDocument/2006/relationships/hyperlink" Target="http://www.plants.usda.gov/java/profile?symbol=DACA7" TargetMode="External"/><Relationship Id="rId2159" Type="http://schemas.openxmlformats.org/officeDocument/2006/relationships/hyperlink" Target="http://www.plants.usda.gov/java/profile?symbol=CRPR2" TargetMode="External"/><Relationship Id="rId2366" Type="http://schemas.openxmlformats.org/officeDocument/2006/relationships/hyperlink" Target="http://www.plants.usda.gov/java/profile?symbol=RIHU" TargetMode="External"/><Relationship Id="rId2573" Type="http://schemas.openxmlformats.org/officeDocument/2006/relationships/hyperlink" Target="http://www.plants.usda.gov/java/profile?symbol=STLE6" TargetMode="External"/><Relationship Id="rId100" Type="http://schemas.openxmlformats.org/officeDocument/2006/relationships/hyperlink" Target="http://www.plants.usda.gov/java/profile?symbol=CAGR3" TargetMode="External"/><Relationship Id="rId338" Type="http://schemas.openxmlformats.org/officeDocument/2006/relationships/hyperlink" Target="http://www.plants.usda.gov/java/profile?symbol=JUEFS" TargetMode="External"/><Relationship Id="rId545" Type="http://schemas.openxmlformats.org/officeDocument/2006/relationships/hyperlink" Target="http://www.plants.usda.gov/java/profile?symbol=AMCO" TargetMode="External"/><Relationship Id="rId752" Type="http://schemas.openxmlformats.org/officeDocument/2006/relationships/hyperlink" Target="http://www.plants.usda.gov/java/profile?symbol=CHNU9" TargetMode="External"/><Relationship Id="rId1175" Type="http://schemas.openxmlformats.org/officeDocument/2006/relationships/hyperlink" Target="http://www.plants.usda.gov/java/profile?symbol=HUPO2" TargetMode="External"/><Relationship Id="rId1382" Type="http://schemas.openxmlformats.org/officeDocument/2006/relationships/hyperlink" Target="http://www.plants.usda.gov/java/profile?symbol=MOPUP" TargetMode="External"/><Relationship Id="rId2019" Type="http://schemas.openxmlformats.org/officeDocument/2006/relationships/hyperlink" Target="http://www.plants.usda.gov/java/profile?symbol=VISA2" TargetMode="External"/><Relationship Id="rId2226" Type="http://schemas.openxmlformats.org/officeDocument/2006/relationships/hyperlink" Target="http://www.plants.usda.gov/java/profile?symbol=LIBEP" TargetMode="External"/><Relationship Id="rId2433" Type="http://schemas.openxmlformats.org/officeDocument/2006/relationships/hyperlink" Target="http://www.plants.usda.gov/java/profile?symbol=SALU2" TargetMode="External"/><Relationship Id="rId405" Type="http://schemas.openxmlformats.org/officeDocument/2006/relationships/hyperlink" Target="http://www.plants.usda.gov/java/profile?symbol=POPA2" TargetMode="External"/><Relationship Id="rId612" Type="http://schemas.openxmlformats.org/officeDocument/2006/relationships/hyperlink" Target="http://www.plants.usda.gov/java/profile?symbol=ARDI8" TargetMode="External"/><Relationship Id="rId1035" Type="http://schemas.openxmlformats.org/officeDocument/2006/relationships/hyperlink" Target="http://www.plants.usda.gov/java/profile?symbol=FRVIG3" TargetMode="External"/><Relationship Id="rId1242" Type="http://schemas.openxmlformats.org/officeDocument/2006/relationships/hyperlink" Target="http://www.plants.usda.gov/java/profile?symbol=LEVIV2" TargetMode="External"/><Relationship Id="rId1687" Type="http://schemas.openxmlformats.org/officeDocument/2006/relationships/hyperlink" Target="http://www.plants.usda.gov/java/profile?symbol=RULA3" TargetMode="External"/><Relationship Id="rId1894" Type="http://schemas.openxmlformats.org/officeDocument/2006/relationships/hyperlink" Target="http://www.plants.usda.gov/java/profile?symbol=SYPUP" TargetMode="External"/><Relationship Id="rId2500" Type="http://schemas.openxmlformats.org/officeDocument/2006/relationships/hyperlink" Target="http://www.plants.usda.gov/java/profile?symbol=AMBRC" TargetMode="External"/><Relationship Id="rId917" Type="http://schemas.openxmlformats.org/officeDocument/2006/relationships/hyperlink" Target="http://www.plants.usda.gov/java/profile?symbol=DEGL5" TargetMode="External"/><Relationship Id="rId1102" Type="http://schemas.openxmlformats.org/officeDocument/2006/relationships/hyperlink" Target="http://www.plants.usda.gov/java/profile?symbol=HADEA" TargetMode="External"/><Relationship Id="rId1547" Type="http://schemas.openxmlformats.org/officeDocument/2006/relationships/hyperlink" Target="http://www.plants.usda.gov/java/profile?symbol=POPE" TargetMode="External"/><Relationship Id="rId1754" Type="http://schemas.openxmlformats.org/officeDocument/2006/relationships/hyperlink" Target="http://www.plants.usda.gov/java/profile?symbol=SIVI2" TargetMode="External"/><Relationship Id="rId1961" Type="http://schemas.openxmlformats.org/officeDocument/2006/relationships/hyperlink" Target="http://www.plants.usda.gov/java/profile?symbol=VEHA2" TargetMode="External"/><Relationship Id="rId46" Type="http://schemas.openxmlformats.org/officeDocument/2006/relationships/hyperlink" Target="http://www.plants.usda.gov/java/profile?symbol=CACAM" TargetMode="External"/><Relationship Id="rId1407" Type="http://schemas.openxmlformats.org/officeDocument/2006/relationships/hyperlink" Target="http://www.plants.usda.gov/java/profile?symbol=NULUV" TargetMode="External"/><Relationship Id="rId1614" Type="http://schemas.openxmlformats.org/officeDocument/2006/relationships/hyperlink" Target="http://www.plants.usda.gov/java/profile?symbol=POVA3" TargetMode="External"/><Relationship Id="rId1821" Type="http://schemas.openxmlformats.org/officeDocument/2006/relationships/hyperlink" Target="http://www.plants.usda.gov/java/profile?symbol=SPSA5" TargetMode="External"/><Relationship Id="rId195" Type="http://schemas.openxmlformats.org/officeDocument/2006/relationships/hyperlink" Target="http://www.plants.usda.gov/java/profile?symbol=CYBI6" TargetMode="External"/><Relationship Id="rId1919" Type="http://schemas.openxmlformats.org/officeDocument/2006/relationships/hyperlink" Target="http://www.plants.usda.gov/java/profile?symbol=TORY" TargetMode="External"/><Relationship Id="rId2083" Type="http://schemas.openxmlformats.org/officeDocument/2006/relationships/hyperlink" Target="http://www.plants.usda.gov/java/profile?symbol=AMCO" TargetMode="External"/><Relationship Id="rId2290" Type="http://schemas.openxmlformats.org/officeDocument/2006/relationships/hyperlink" Target="http://www.plants.usda.gov/java/profile?symbol=PORER" TargetMode="External"/><Relationship Id="rId2388" Type="http://schemas.openxmlformats.org/officeDocument/2006/relationships/hyperlink" Target="http://www.plants.usda.gov/java/profile?symbol=RUAB" TargetMode="External"/><Relationship Id="rId262" Type="http://schemas.openxmlformats.org/officeDocument/2006/relationships/hyperlink" Target="http://www.plants.usda.gov/java/profile?symbol=ELOV" TargetMode="External"/><Relationship Id="rId567" Type="http://schemas.openxmlformats.org/officeDocument/2006/relationships/hyperlink" Target="http://www.plants.usda.gov/java/profile?symbol=ANPA9" TargetMode="External"/><Relationship Id="rId1197" Type="http://schemas.openxmlformats.org/officeDocument/2006/relationships/hyperlink" Target="http://www.plants.usda.gov/java/profile?symbol=IPCR" TargetMode="External"/><Relationship Id="rId2150" Type="http://schemas.openxmlformats.org/officeDocument/2006/relationships/hyperlink" Target="http://www.plants.usda.gov/java/profile?symbol=COCOC2" TargetMode="External"/><Relationship Id="rId2248" Type="http://schemas.openxmlformats.org/officeDocument/2006/relationships/hyperlink" Target="http://www.plants.usda.gov/java/profile?symbol=MIAL4" TargetMode="External"/><Relationship Id="rId122" Type="http://schemas.openxmlformats.org/officeDocument/2006/relationships/hyperlink" Target="http://www.plants.usda.gov/java/profile?symbol=CALA18" TargetMode="External"/><Relationship Id="rId774" Type="http://schemas.openxmlformats.org/officeDocument/2006/relationships/hyperlink" Target="http://www.plants.usda.gov/java/profile?symbol=CHPR5" TargetMode="External"/><Relationship Id="rId981" Type="http://schemas.openxmlformats.org/officeDocument/2006/relationships/hyperlink" Target="http://www.plants.usda.gov/java/profile?symbol=EQSY" TargetMode="External"/><Relationship Id="rId1057" Type="http://schemas.openxmlformats.org/officeDocument/2006/relationships/hyperlink" Target="http://www.plants.usda.gov/java/profile?symbol=GABI2" TargetMode="External"/><Relationship Id="rId2010" Type="http://schemas.openxmlformats.org/officeDocument/2006/relationships/hyperlink" Target="http://www.plants.usda.gov/java/profile?symbol=VIMAP3" TargetMode="External"/><Relationship Id="rId2455" Type="http://schemas.openxmlformats.org/officeDocument/2006/relationships/hyperlink" Target="http://www.plants.usda.gov/java/profile?symbol=SPAL2" TargetMode="External"/><Relationship Id="rId427" Type="http://schemas.openxmlformats.org/officeDocument/2006/relationships/hyperlink" Target="http://www.plants.usda.gov/java/profile?symbol=SCSM2" TargetMode="External"/><Relationship Id="rId634" Type="http://schemas.openxmlformats.org/officeDocument/2006/relationships/hyperlink" Target="http://www.plants.usda.gov/java/profile?symbol=ASVI" TargetMode="External"/><Relationship Id="rId841" Type="http://schemas.openxmlformats.org/officeDocument/2006/relationships/hyperlink" Target="http://www.plants.usda.gov/java/profile?symbol=COMIM2" TargetMode="External"/><Relationship Id="rId1264" Type="http://schemas.openxmlformats.org/officeDocument/2006/relationships/hyperlink" Target="http://www.plants.usda.gov/java/profile?symbol=LISQH" TargetMode="External"/><Relationship Id="rId1471" Type="http://schemas.openxmlformats.org/officeDocument/2006/relationships/hyperlink" Target="http://www.plants.usda.gov/java/profile?symbol=PEES" TargetMode="External"/><Relationship Id="rId1569" Type="http://schemas.openxmlformats.org/officeDocument/2006/relationships/hyperlink" Target="http://www.plants.usda.gov/java/profile?symbol=POAMS" TargetMode="External"/><Relationship Id="rId2108" Type="http://schemas.openxmlformats.org/officeDocument/2006/relationships/hyperlink" Target="http://www.plants.usda.gov/java/profile?symbol=BESA" TargetMode="External"/><Relationship Id="rId2315" Type="http://schemas.openxmlformats.org/officeDocument/2006/relationships/hyperlink" Target="http://www.plants.usda.gov/java/profile?symbol=PRVI" TargetMode="External"/><Relationship Id="rId2522" Type="http://schemas.openxmlformats.org/officeDocument/2006/relationships/hyperlink" Target="http://www.plants.usda.gov/java/profile?symbol=CUCOC" TargetMode="External"/><Relationship Id="rId701" Type="http://schemas.openxmlformats.org/officeDocument/2006/relationships/hyperlink" Target="http://www.plants.usda.gov/java/profile?symbol=CAINI4" TargetMode="External"/><Relationship Id="rId939" Type="http://schemas.openxmlformats.org/officeDocument/2006/relationships/hyperlink" Target="http://www.plants.usda.gov/java/profile?symbol=DRNE" TargetMode="External"/><Relationship Id="rId1124" Type="http://schemas.openxmlformats.org/officeDocument/2006/relationships/hyperlink" Target="http://www.plants.usda.gov/java/profile?symbol=HENU" TargetMode="External"/><Relationship Id="rId1331" Type="http://schemas.openxmlformats.org/officeDocument/2006/relationships/hyperlink" Target="http://www.plants.usda.gov/java/profile?symbol=LYAL4" TargetMode="External"/><Relationship Id="rId1776" Type="http://schemas.openxmlformats.org/officeDocument/2006/relationships/hyperlink" Target="http://www.plants.usda.gov/java/profile?symbol=SIMOM" TargetMode="External"/><Relationship Id="rId1983" Type="http://schemas.openxmlformats.org/officeDocument/2006/relationships/hyperlink" Target="http://www.plants.usda.gov/java/profile?symbol=VEFAF" TargetMode="External"/><Relationship Id="rId68" Type="http://schemas.openxmlformats.org/officeDocument/2006/relationships/hyperlink" Target="http://www.plants.usda.gov/java/profile?symbol=CABU5" TargetMode="External"/><Relationship Id="rId1429" Type="http://schemas.openxmlformats.org/officeDocument/2006/relationships/hyperlink" Target="http://www.plants.usda.gov/java/profile?symbol=ONBE" TargetMode="External"/><Relationship Id="rId1636" Type="http://schemas.openxmlformats.org/officeDocument/2006/relationships/hyperlink" Target="http://www.plants.usda.gov/java/profile?symbol=PRPAC" TargetMode="External"/><Relationship Id="rId1843" Type="http://schemas.openxmlformats.org/officeDocument/2006/relationships/hyperlink" Target="http://www.plants.usda.gov/java/profile?symbol=STNI6" TargetMode="External"/><Relationship Id="rId1703" Type="http://schemas.openxmlformats.org/officeDocument/2006/relationships/hyperlink" Target="http://www.plants.usda.gov/java/profile?symbol=RUVE2" TargetMode="External"/><Relationship Id="rId1910" Type="http://schemas.openxmlformats.org/officeDocument/2006/relationships/hyperlink" Target="http://www.plants.usda.gov/java/profile?symbol=THTH2" TargetMode="External"/><Relationship Id="rId284" Type="http://schemas.openxmlformats.org/officeDocument/2006/relationships/hyperlink" Target="http://www.plants.usda.gov/java/profile?symbol=ELVI" TargetMode="External"/><Relationship Id="rId491" Type="http://schemas.openxmlformats.org/officeDocument/2006/relationships/hyperlink" Target="http://www.plants.usda.gov/java/profile?symbol=ADFU" TargetMode="External"/><Relationship Id="rId2172" Type="http://schemas.openxmlformats.org/officeDocument/2006/relationships/hyperlink" Target="http://www.plants.usda.gov/java/profile?symbol=DAFR6" TargetMode="External"/><Relationship Id="rId144" Type="http://schemas.openxmlformats.org/officeDocument/2006/relationships/hyperlink" Target="http://www.plants.usda.gov/java/profile?symbol=CAPE11" TargetMode="External"/><Relationship Id="rId589" Type="http://schemas.openxmlformats.org/officeDocument/2006/relationships/hyperlink" Target="http://www.plants.usda.gov/java/profile?symbol=ARRA" TargetMode="External"/><Relationship Id="rId796" Type="http://schemas.openxmlformats.org/officeDocument/2006/relationships/hyperlink" Target="http://www.plants.usda.gov/java/profile?symbol=CIHI" TargetMode="External"/><Relationship Id="rId2477" Type="http://schemas.openxmlformats.org/officeDocument/2006/relationships/hyperlink" Target="http://www.plants.usda.gov/java/profile?symbol=TORY" TargetMode="External"/><Relationship Id="rId351" Type="http://schemas.openxmlformats.org/officeDocument/2006/relationships/hyperlink" Target="http://www.plants.usda.gov/java/profile?symbol=LEOR" TargetMode="External"/><Relationship Id="rId449" Type="http://schemas.openxmlformats.org/officeDocument/2006/relationships/hyperlink" Target="http://www.plants.usda.gov/java/profile?symbol=SPCOD3" TargetMode="External"/><Relationship Id="rId656" Type="http://schemas.openxmlformats.org/officeDocument/2006/relationships/hyperlink" Target="http://www.plants.usda.gov/java/profile?symbol=AUGRP" TargetMode="External"/><Relationship Id="rId863" Type="http://schemas.openxmlformats.org/officeDocument/2006/relationships/hyperlink" Target="http://www.plants.usda.gov/java/profile?symbol=CUCU2" TargetMode="External"/><Relationship Id="rId1079" Type="http://schemas.openxmlformats.org/officeDocument/2006/relationships/hyperlink" Target="http://www.plants.usda.gov/java/profile?symbol=GECA7" TargetMode="External"/><Relationship Id="rId1286" Type="http://schemas.openxmlformats.org/officeDocument/2006/relationships/hyperlink" Target="http://www.plants.usda.gov/java/profile?symbol=LICAC9" TargetMode="External"/><Relationship Id="rId1493" Type="http://schemas.openxmlformats.org/officeDocument/2006/relationships/hyperlink" Target="http://www.plants.usda.gov/java/profile?symbol=PHDI5" TargetMode="External"/><Relationship Id="rId2032" Type="http://schemas.openxmlformats.org/officeDocument/2006/relationships/hyperlink" Target="http://www.plants.usda.gov/java/profile?symbol=WOOBO" TargetMode="External"/><Relationship Id="rId2337" Type="http://schemas.openxmlformats.org/officeDocument/2006/relationships/hyperlink" Target="http://www.plants.usda.gov/java/profile?symbol=QUMAM2" TargetMode="External"/><Relationship Id="rId2544" Type="http://schemas.openxmlformats.org/officeDocument/2006/relationships/hyperlink" Target="http://www.plants.usda.gov/java/profile?symbol=IPCR" TargetMode="External"/><Relationship Id="rId211" Type="http://schemas.openxmlformats.org/officeDocument/2006/relationships/hyperlink" Target="http://www.plants.usda.gov/java/profile?symbol=DIACL" TargetMode="External"/><Relationship Id="rId309" Type="http://schemas.openxmlformats.org/officeDocument/2006/relationships/hyperlink" Target="http://www.plants.usda.gov/java/profile?symbol=FESU3" TargetMode="External"/><Relationship Id="rId516" Type="http://schemas.openxmlformats.org/officeDocument/2006/relationships/hyperlink" Target="http://www.plants.usda.gov/java/profile?symbol=ALSU" TargetMode="External"/><Relationship Id="rId1146" Type="http://schemas.openxmlformats.org/officeDocument/2006/relationships/hyperlink" Target="http://www.plants.usda.gov/java/profile?symbol=HECA16" TargetMode="External"/><Relationship Id="rId1798" Type="http://schemas.openxmlformats.org/officeDocument/2006/relationships/hyperlink" Target="http://www.plants.usda.gov/java/profile?symbol=SOHI" TargetMode="External"/><Relationship Id="rId723" Type="http://schemas.openxmlformats.org/officeDocument/2006/relationships/hyperlink" Target="http://www.plants.usda.gov/java/profile?symbol=CARO2" TargetMode="External"/><Relationship Id="rId930" Type="http://schemas.openxmlformats.org/officeDocument/2006/relationships/hyperlink" Target="http://www.plants.usda.gov/java/profile?symbol=DIVI4" TargetMode="External"/><Relationship Id="rId1006" Type="http://schemas.openxmlformats.org/officeDocument/2006/relationships/hyperlink" Target="http://www.plants.usda.gov/java/profile?symbol=EUPE3" TargetMode="External"/><Relationship Id="rId1353" Type="http://schemas.openxmlformats.org/officeDocument/2006/relationships/hyperlink" Target="http://www.plants.usda.gov/java/profile?symbol=MEDE2" TargetMode="External"/><Relationship Id="rId1560" Type="http://schemas.openxmlformats.org/officeDocument/2006/relationships/hyperlink" Target="http://www.plants.usda.gov/java/profile?symbol=POVE" TargetMode="External"/><Relationship Id="rId1658" Type="http://schemas.openxmlformats.org/officeDocument/2006/relationships/hyperlink" Target="http://www.plants.usda.gov/java/profile?symbol=RAFL" TargetMode="External"/><Relationship Id="rId1865" Type="http://schemas.openxmlformats.org/officeDocument/2006/relationships/hyperlink" Target="http://www.plants.usda.gov/java/profile?symbol=SYFA" TargetMode="External"/><Relationship Id="rId2404" Type="http://schemas.openxmlformats.org/officeDocument/2006/relationships/hyperlink" Target="http://www.plants.usda.gov/java/profile?symbol=RUOC" TargetMode="External"/><Relationship Id="rId1213" Type="http://schemas.openxmlformats.org/officeDocument/2006/relationships/hyperlink" Target="http://www.plants.usda.gov/java/profile?symbol=LACA" TargetMode="External"/><Relationship Id="rId1420" Type="http://schemas.openxmlformats.org/officeDocument/2006/relationships/hyperlink" Target="http://www.plants.usda.gov/java/profile?symbol=OESP2" TargetMode="External"/><Relationship Id="rId1518" Type="http://schemas.openxmlformats.org/officeDocument/2006/relationships/hyperlink" Target="http://www.plants.usda.gov/java/profile?symbol=PHPA10" TargetMode="External"/><Relationship Id="rId1725" Type="http://schemas.openxmlformats.org/officeDocument/2006/relationships/hyperlink" Target="http://www.plants.usda.gov/java/profile?symbol=SACAC2" TargetMode="External"/><Relationship Id="rId1932" Type="http://schemas.openxmlformats.org/officeDocument/2006/relationships/hyperlink" Target="http://www.plants.usda.gov/java/profile?symbol=TRRE5" TargetMode="External"/><Relationship Id="rId17" Type="http://schemas.openxmlformats.org/officeDocument/2006/relationships/hyperlink" Target="http://www.plants.usda.gov/java/profile?symbol=ARLO16" TargetMode="External"/><Relationship Id="rId2194" Type="http://schemas.openxmlformats.org/officeDocument/2006/relationships/hyperlink" Target="http://www.plants.usda.gov/java/profile?symbol=GAPU" TargetMode="External"/><Relationship Id="rId166" Type="http://schemas.openxmlformats.org/officeDocument/2006/relationships/hyperlink" Target="http://www.plants.usda.gov/java/profile?symbol=CAST16" TargetMode="External"/><Relationship Id="rId373" Type="http://schemas.openxmlformats.org/officeDocument/2006/relationships/hyperlink" Target="http://www.plants.usda.gov/java/profile?symbol=MUFR2" TargetMode="External"/><Relationship Id="rId580" Type="http://schemas.openxmlformats.org/officeDocument/2006/relationships/hyperlink" Target="http://www.plants.usda.gov/java/profile?symbol=ARGL" TargetMode="External"/><Relationship Id="rId2054" Type="http://schemas.openxmlformats.org/officeDocument/2006/relationships/hyperlink" Target="http://www.plants.usda.gov/java/profile?symbol=ACNI5" TargetMode="External"/><Relationship Id="rId2261" Type="http://schemas.openxmlformats.org/officeDocument/2006/relationships/hyperlink" Target="http://www.plants.usda.gov/java/profile?symbol=OPMA2" TargetMode="External"/><Relationship Id="rId2499" Type="http://schemas.openxmlformats.org/officeDocument/2006/relationships/hyperlink" Target="http://www.plants.usda.gov/java/profile?symbol=AMBRB" TargetMode="External"/><Relationship Id="rId1" Type="http://schemas.openxmlformats.org/officeDocument/2006/relationships/hyperlink" Target="http://www.plants.usda.gov/about_adv_search.html" TargetMode="External"/><Relationship Id="rId233" Type="http://schemas.openxmlformats.org/officeDocument/2006/relationships/hyperlink" Target="http://www.plants.usda.gov/java/profile?symbol=DIVIP" TargetMode="External"/><Relationship Id="rId440" Type="http://schemas.openxmlformats.org/officeDocument/2006/relationships/hyperlink" Target="http://www.plants.usda.gov/java/profile?symbol=SCFE" TargetMode="External"/><Relationship Id="rId678" Type="http://schemas.openxmlformats.org/officeDocument/2006/relationships/hyperlink" Target="http://www.plants.usda.gov/java/profile?symbol=BITR" TargetMode="External"/><Relationship Id="rId885" Type="http://schemas.openxmlformats.org/officeDocument/2006/relationships/hyperlink" Target="http://www.plants.usda.gov/java/profile?symbol=CYBU3" TargetMode="External"/><Relationship Id="rId1070" Type="http://schemas.openxmlformats.org/officeDocument/2006/relationships/hyperlink" Target="http://www.plants.usda.gov/java/profile?symbol=GEQUO" TargetMode="External"/><Relationship Id="rId2121" Type="http://schemas.openxmlformats.org/officeDocument/2006/relationships/hyperlink" Target="http://www.plants.usda.gov/java/profile?symbol=CASC16" TargetMode="External"/><Relationship Id="rId2359" Type="http://schemas.openxmlformats.org/officeDocument/2006/relationships/hyperlink" Target="http://www.plants.usda.gov/java/profile?symbol=RHTRT" TargetMode="External"/><Relationship Id="rId2566" Type="http://schemas.openxmlformats.org/officeDocument/2006/relationships/hyperlink" Target="http://www.plants.usda.gov/java/profile?symbol=SMEC" TargetMode="External"/><Relationship Id="rId300" Type="http://schemas.openxmlformats.org/officeDocument/2006/relationships/hyperlink" Target="http://www.plants.usda.gov/java/profile?symbol=ERGR8" TargetMode="External"/><Relationship Id="rId538" Type="http://schemas.openxmlformats.org/officeDocument/2006/relationships/hyperlink" Target="http://www.plants.usda.gov/java/profile?symbol=AMARE" TargetMode="External"/><Relationship Id="rId745" Type="http://schemas.openxmlformats.org/officeDocument/2006/relationships/hyperlink" Target="http://www.plants.usda.gov/java/profile?symbol=CHFA2" TargetMode="External"/><Relationship Id="rId952" Type="http://schemas.openxmlformats.org/officeDocument/2006/relationships/hyperlink" Target="http://www.plants.usda.gov/java/profile?symbol=DYPA" TargetMode="External"/><Relationship Id="rId1168" Type="http://schemas.openxmlformats.org/officeDocument/2006/relationships/hyperlink" Target="http://www.plants.usda.gov/java/profile?symbol=HOPUP3" TargetMode="External"/><Relationship Id="rId1375" Type="http://schemas.openxmlformats.org/officeDocument/2006/relationships/hyperlink" Target="http://www.plants.usda.gov/java/profile?symbol=MODI" TargetMode="External"/><Relationship Id="rId1582" Type="http://schemas.openxmlformats.org/officeDocument/2006/relationships/hyperlink" Target="http://www.plants.usda.gov/java/profile?symbol=PORAR" TargetMode="External"/><Relationship Id="rId2219" Type="http://schemas.openxmlformats.org/officeDocument/2006/relationships/hyperlink" Target="http://www.plants.usda.gov/java/profile?symbol=JUNI" TargetMode="External"/><Relationship Id="rId2426" Type="http://schemas.openxmlformats.org/officeDocument/2006/relationships/hyperlink" Target="http://www.plants.usda.gov/java/profile?symbol=SAER" TargetMode="External"/><Relationship Id="rId81" Type="http://schemas.openxmlformats.org/officeDocument/2006/relationships/hyperlink" Target="http://www.plants.usda.gov/java/profile?symbol=CACR6" TargetMode="External"/><Relationship Id="rId605" Type="http://schemas.openxmlformats.org/officeDocument/2006/relationships/hyperlink" Target="http://www.plants.usda.gov/java/profile?symbol=ARCA12" TargetMode="External"/><Relationship Id="rId812" Type="http://schemas.openxmlformats.org/officeDocument/2006/relationships/hyperlink" Target="http://www.plants.usda.gov/java/profile?symbol=COER" TargetMode="External"/><Relationship Id="rId1028" Type="http://schemas.openxmlformats.org/officeDocument/2006/relationships/hyperlink" Target="http://www.plants.usda.gov/java/profile?symbol=EUGY" TargetMode="External"/><Relationship Id="rId1235" Type="http://schemas.openxmlformats.org/officeDocument/2006/relationships/hyperlink" Target="http://www.plants.usda.gov/java/profile?symbol=LEOB2" TargetMode="External"/><Relationship Id="rId1442" Type="http://schemas.openxmlformats.org/officeDocument/2006/relationships/hyperlink" Target="http://www.plants.usda.gov/java/profile?symbol=OSCL2" TargetMode="External"/><Relationship Id="rId1887" Type="http://schemas.openxmlformats.org/officeDocument/2006/relationships/hyperlink" Target="http://www.plants.usda.gov/java/profile?symbol=SYPIP3" TargetMode="External"/><Relationship Id="rId1302" Type="http://schemas.openxmlformats.org/officeDocument/2006/relationships/hyperlink" Target="http://www.plants.usda.gov/java/profile?symbol=LOFOF2" TargetMode="External"/><Relationship Id="rId1747" Type="http://schemas.openxmlformats.org/officeDocument/2006/relationships/hyperlink" Target="http://www.plants.usda.gov/java/profile?symbol=SEEC" TargetMode="External"/><Relationship Id="rId1954" Type="http://schemas.openxmlformats.org/officeDocument/2006/relationships/hyperlink" Target="http://www.plants.usda.gov/java/profile?symbol=VAAM3" TargetMode="External"/><Relationship Id="rId39" Type="http://schemas.openxmlformats.org/officeDocument/2006/relationships/hyperlink" Target="http://www.plants.usda.gov/java/profile?symbol=BRMA4" TargetMode="External"/><Relationship Id="rId1607" Type="http://schemas.openxmlformats.org/officeDocument/2006/relationships/hyperlink" Target="http://www.plants.usda.gov/java/profile?symbol=POPU7" TargetMode="External"/><Relationship Id="rId1814" Type="http://schemas.openxmlformats.org/officeDocument/2006/relationships/hyperlink" Target="http://www.plants.usda.gov/java/profile?symbol=SOULU" TargetMode="External"/><Relationship Id="rId188" Type="http://schemas.openxmlformats.org/officeDocument/2006/relationships/hyperlink" Target="http://www.plants.usda.gov/java/profile?symbol=CAAQ3" TargetMode="External"/><Relationship Id="rId395" Type="http://schemas.openxmlformats.org/officeDocument/2006/relationships/hyperlink" Target="http://www.plants.usda.gov/java/profile?symbol=PASM" TargetMode="External"/><Relationship Id="rId2076" Type="http://schemas.openxmlformats.org/officeDocument/2006/relationships/hyperlink" Target="http://www.plants.usda.gov/java/profile?symbol=AMARA4" TargetMode="External"/><Relationship Id="rId2283" Type="http://schemas.openxmlformats.org/officeDocument/2006/relationships/hyperlink" Target="http://www.plants.usda.gov/java/profile?symbol=PHAU7" TargetMode="External"/><Relationship Id="rId2490" Type="http://schemas.openxmlformats.org/officeDocument/2006/relationships/hyperlink" Target="http://www.plants.usda.gov/java/profile?symbol=VIRA" TargetMode="External"/><Relationship Id="rId2588" Type="http://schemas.openxmlformats.org/officeDocument/2006/relationships/hyperlink" Target="http://www.plants.usda.gov/java/profile?symbol=VIVU" TargetMode="External"/><Relationship Id="rId255" Type="http://schemas.openxmlformats.org/officeDocument/2006/relationships/hyperlink" Target="http://www.plants.usda.gov/java/profile?symbol=ELEN" TargetMode="External"/><Relationship Id="rId462" Type="http://schemas.openxmlformats.org/officeDocument/2006/relationships/hyperlink" Target="http://www.plants.usda.gov/java/profile?symbol=VUOC" TargetMode="External"/><Relationship Id="rId1092" Type="http://schemas.openxmlformats.org/officeDocument/2006/relationships/hyperlink" Target="http://www.plants.usda.gov/java/profile?symbol=GRPA8" TargetMode="External"/><Relationship Id="rId1397" Type="http://schemas.openxmlformats.org/officeDocument/2006/relationships/hyperlink" Target="http://www.plants.usda.gov/java/profile?symbol=NAGUG" TargetMode="External"/><Relationship Id="rId2143" Type="http://schemas.openxmlformats.org/officeDocument/2006/relationships/hyperlink" Target="http://www.plants.usda.gov/java/profile?symbol=COOB9" TargetMode="External"/><Relationship Id="rId2350" Type="http://schemas.openxmlformats.org/officeDocument/2006/relationships/hyperlink" Target="http://www.plants.usda.gov/java/profile?symbol=RHLAG2" TargetMode="External"/><Relationship Id="rId115" Type="http://schemas.openxmlformats.org/officeDocument/2006/relationships/hyperlink" Target="http://www.plants.usda.gov/java/profile?symbol=CAIN12" TargetMode="External"/><Relationship Id="rId322" Type="http://schemas.openxmlformats.org/officeDocument/2006/relationships/hyperlink" Target="http://www.plants.usda.gov/java/profile?symbol=HIHIA" TargetMode="External"/><Relationship Id="rId767" Type="http://schemas.openxmlformats.org/officeDocument/2006/relationships/hyperlink" Target="http://www.plants.usda.gov/java/profile?symbol=CHBE4" TargetMode="External"/><Relationship Id="rId974" Type="http://schemas.openxmlformats.org/officeDocument/2006/relationships/hyperlink" Target="http://www.plants.usda.gov/java/profile?symbol=EQFL" TargetMode="External"/><Relationship Id="rId2003" Type="http://schemas.openxmlformats.org/officeDocument/2006/relationships/hyperlink" Target="http://www.plants.usda.gov/java/profile?symbol=VIBLP" TargetMode="External"/><Relationship Id="rId2210" Type="http://schemas.openxmlformats.org/officeDocument/2006/relationships/hyperlink" Target="http://www.plants.usda.gov/java/profile?symbol=HUTO" TargetMode="External"/><Relationship Id="rId2448" Type="http://schemas.openxmlformats.org/officeDocument/2006/relationships/hyperlink" Target="http://www.plants.usda.gov/java/profile?symbol=SMRO" TargetMode="External"/><Relationship Id="rId627" Type="http://schemas.openxmlformats.org/officeDocument/2006/relationships/hyperlink" Target="http://www.plants.usda.gov/java/profile?symbol=ASSP" TargetMode="External"/><Relationship Id="rId834" Type="http://schemas.openxmlformats.org/officeDocument/2006/relationships/hyperlink" Target="http://www.plants.usda.gov/java/profile?symbol=COCA13" TargetMode="External"/><Relationship Id="rId1257" Type="http://schemas.openxmlformats.org/officeDocument/2006/relationships/hyperlink" Target="http://www.plants.usda.gov/java/profile?symbol=LIPUN" TargetMode="External"/><Relationship Id="rId1464" Type="http://schemas.openxmlformats.org/officeDocument/2006/relationships/hyperlink" Target="http://www.plants.usda.gov/java/profile?symbol=PAFAF" TargetMode="External"/><Relationship Id="rId1671" Type="http://schemas.openxmlformats.org/officeDocument/2006/relationships/hyperlink" Target="http://www.plants.usda.gov/java/profile?symbol=RASCS" TargetMode="External"/><Relationship Id="rId2308" Type="http://schemas.openxmlformats.org/officeDocument/2006/relationships/hyperlink" Target="http://www.plants.usda.gov/java/profile?symbol=PRPE2" TargetMode="External"/><Relationship Id="rId2515" Type="http://schemas.openxmlformats.org/officeDocument/2006/relationships/hyperlink" Target="http://www.plants.usda.gov/java/profile?symbol=CLPI" TargetMode="External"/><Relationship Id="rId901" Type="http://schemas.openxmlformats.org/officeDocument/2006/relationships/hyperlink" Target="http://www.plants.usda.gov/java/profile?symbol=DAMA" TargetMode="External"/><Relationship Id="rId1117" Type="http://schemas.openxmlformats.org/officeDocument/2006/relationships/hyperlink" Target="http://www.plants.usda.gov/java/profile?symbol=HEGI" TargetMode="External"/><Relationship Id="rId1324" Type="http://schemas.openxmlformats.org/officeDocument/2006/relationships/hyperlink" Target="http://www.plants.usda.gov/java/profile?symbol=LYJU" TargetMode="External"/><Relationship Id="rId1531" Type="http://schemas.openxmlformats.org/officeDocument/2006/relationships/hyperlink" Target="http://www.plants.usda.gov/java/profile?symbol=PLPA2" TargetMode="External"/><Relationship Id="rId1769" Type="http://schemas.openxmlformats.org/officeDocument/2006/relationships/hyperlink" Target="http://www.plants.usda.gov/java/profile?symbol=SIPE2" TargetMode="External"/><Relationship Id="rId1976" Type="http://schemas.openxmlformats.org/officeDocument/2006/relationships/hyperlink" Target="http://www.plants.usda.gov/java/profile?symbol=VEHE" TargetMode="External"/><Relationship Id="rId30" Type="http://schemas.openxmlformats.org/officeDocument/2006/relationships/hyperlink" Target="http://www.plants.usda.gov/java/profile?symbol=BOHI2" TargetMode="External"/><Relationship Id="rId1629" Type="http://schemas.openxmlformats.org/officeDocument/2006/relationships/hyperlink" Target="http://www.plants.usda.gov/java/profile?symbol=PRRA" TargetMode="External"/><Relationship Id="rId1836" Type="http://schemas.openxmlformats.org/officeDocument/2006/relationships/hyperlink" Target="http://www.plants.usda.gov/java/profile?symbol=STAS" TargetMode="External"/><Relationship Id="rId1903" Type="http://schemas.openxmlformats.org/officeDocument/2006/relationships/hyperlink" Target="http://www.plants.usda.gov/java/profile?symbol=TEVI" TargetMode="External"/><Relationship Id="rId2098" Type="http://schemas.openxmlformats.org/officeDocument/2006/relationships/hyperlink" Target="http://www.plants.usda.gov/java/profile?symbol=ASMI10" TargetMode="External"/><Relationship Id="rId277" Type="http://schemas.openxmlformats.org/officeDocument/2006/relationships/hyperlink" Target="http://www.plants.usda.gov/java/profile?symbol=ELHYH" TargetMode="External"/><Relationship Id="rId484" Type="http://schemas.openxmlformats.org/officeDocument/2006/relationships/hyperlink" Target="http://www.plants.usda.gov/java/profile?symbol=ACCA4" TargetMode="External"/><Relationship Id="rId2165" Type="http://schemas.openxmlformats.org/officeDocument/2006/relationships/hyperlink" Target="http://www.plants.usda.gov/java/profile?symbol=DACA7" TargetMode="External"/><Relationship Id="rId137" Type="http://schemas.openxmlformats.org/officeDocument/2006/relationships/hyperlink" Target="http://www.plants.usda.gov/java/profile?symbol=CAMUE" TargetMode="External"/><Relationship Id="rId344" Type="http://schemas.openxmlformats.org/officeDocument/2006/relationships/hyperlink" Target="http://www.plants.usda.gov/java/profile?symbol=JUNO2" TargetMode="External"/><Relationship Id="rId691" Type="http://schemas.openxmlformats.org/officeDocument/2006/relationships/hyperlink" Target="http://www.plants.usda.gov/java/profile?symbol=BOMU" TargetMode="External"/><Relationship Id="rId789" Type="http://schemas.openxmlformats.org/officeDocument/2006/relationships/hyperlink" Target="http://www.plants.usda.gov/java/profile?symbol=CIIN4" TargetMode="External"/><Relationship Id="rId996" Type="http://schemas.openxmlformats.org/officeDocument/2006/relationships/hyperlink" Target="http://www.plants.usda.gov/java/profile?symbol=ERIN7" TargetMode="External"/><Relationship Id="rId2025" Type="http://schemas.openxmlformats.org/officeDocument/2006/relationships/hyperlink" Target="http://www.plants.usda.gov/java/profile?symbol=VISU2" TargetMode="External"/><Relationship Id="rId2372" Type="http://schemas.openxmlformats.org/officeDocument/2006/relationships/hyperlink" Target="http://www.plants.usda.gov/java/profile?symbol=ROPS" TargetMode="External"/><Relationship Id="rId551" Type="http://schemas.openxmlformats.org/officeDocument/2006/relationships/hyperlink" Target="http://www.plants.usda.gov/java/profile?symbol=ANAR" TargetMode="External"/><Relationship Id="rId649" Type="http://schemas.openxmlformats.org/officeDocument/2006/relationships/hyperlink" Target="http://www.plants.usda.gov/java/profile?symbol=ASLO4" TargetMode="External"/><Relationship Id="rId856" Type="http://schemas.openxmlformats.org/officeDocument/2006/relationships/hyperlink" Target="http://www.plants.usda.gov/java/profile?symbol=CRCA9" TargetMode="External"/><Relationship Id="rId1181" Type="http://schemas.openxmlformats.org/officeDocument/2006/relationships/hyperlink" Target="http://www.plants.usda.gov/java/profile?symbol=HYVIV" TargetMode="External"/><Relationship Id="rId1279" Type="http://schemas.openxmlformats.org/officeDocument/2006/relationships/hyperlink" Target="http://www.plants.usda.gov/java/profile?symbol=LISU4" TargetMode="External"/><Relationship Id="rId1486" Type="http://schemas.openxmlformats.org/officeDocument/2006/relationships/hyperlink" Target="http://www.plants.usda.gov/java/profile?symbol=PHBI2" TargetMode="External"/><Relationship Id="rId2232" Type="http://schemas.openxmlformats.org/officeDocument/2006/relationships/hyperlink" Target="http://www.plants.usda.gov/java/profile?symbol=LORE5" TargetMode="External"/><Relationship Id="rId2537" Type="http://schemas.openxmlformats.org/officeDocument/2006/relationships/hyperlink" Target="http://www.plants.usda.gov/java/profile?symbol=GAAP2" TargetMode="External"/><Relationship Id="rId204" Type="http://schemas.openxmlformats.org/officeDocument/2006/relationships/hyperlink" Target="http://www.plants.usda.gov/java/profile?symbol=CYSQ" TargetMode="External"/><Relationship Id="rId411" Type="http://schemas.openxmlformats.org/officeDocument/2006/relationships/hyperlink" Target="http://www.plants.usda.gov/java/profile?symbol=PUDI" TargetMode="External"/><Relationship Id="rId509" Type="http://schemas.openxmlformats.org/officeDocument/2006/relationships/hyperlink" Target="http://www.plants.usda.gov/java/profile?symbol=AGGL" TargetMode="External"/><Relationship Id="rId1041" Type="http://schemas.openxmlformats.org/officeDocument/2006/relationships/hyperlink" Target="http://www.plants.usda.gov/java/profile?symbol=GAPUP2" TargetMode="External"/><Relationship Id="rId1139" Type="http://schemas.openxmlformats.org/officeDocument/2006/relationships/hyperlink" Target="http://www.plants.usda.gov/java/profile?symbol=HENO2" TargetMode="External"/><Relationship Id="rId1346" Type="http://schemas.openxmlformats.org/officeDocument/2006/relationships/hyperlink" Target="http://www.plants.usda.gov/java/profile?symbol=MAUN" TargetMode="External"/><Relationship Id="rId1693" Type="http://schemas.openxmlformats.org/officeDocument/2006/relationships/hyperlink" Target="http://www.plants.usda.gov/java/profile?symbol=RUST2" TargetMode="External"/><Relationship Id="rId1998" Type="http://schemas.openxmlformats.org/officeDocument/2006/relationships/hyperlink" Target="http://www.plants.usda.gov/java/profile?symbol=VIAD" TargetMode="External"/><Relationship Id="rId716" Type="http://schemas.openxmlformats.org/officeDocument/2006/relationships/hyperlink" Target="http://www.plants.usda.gov/java/profile?symbol=CASIF" TargetMode="External"/><Relationship Id="rId923" Type="http://schemas.openxmlformats.org/officeDocument/2006/relationships/hyperlink" Target="http://www.plants.usda.gov/java/profile?symbol=DESE" TargetMode="External"/><Relationship Id="rId1553" Type="http://schemas.openxmlformats.org/officeDocument/2006/relationships/hyperlink" Target="http://www.plants.usda.gov/java/profile?symbol=PORER" TargetMode="External"/><Relationship Id="rId1760" Type="http://schemas.openxmlformats.org/officeDocument/2006/relationships/hyperlink" Target="http://www.plants.usda.gov/java/profile?symbol=SIST" TargetMode="External"/><Relationship Id="rId1858" Type="http://schemas.openxmlformats.org/officeDocument/2006/relationships/hyperlink" Target="http://www.plants.usda.gov/java/profile?symbol=SYCO4" TargetMode="External"/><Relationship Id="rId52" Type="http://schemas.openxmlformats.org/officeDocument/2006/relationships/hyperlink" Target="http://www.plants.usda.gov/java/profile?symbol=CAAG2" TargetMode="External"/><Relationship Id="rId1206" Type="http://schemas.openxmlformats.org/officeDocument/2006/relationships/hyperlink" Target="http://www.plants.usda.gov/java/profile?symbol=JEDI" TargetMode="External"/><Relationship Id="rId1413" Type="http://schemas.openxmlformats.org/officeDocument/2006/relationships/hyperlink" Target="http://www.plants.usda.gov/java/profile?symbol=OECL3" TargetMode="External"/><Relationship Id="rId1620" Type="http://schemas.openxmlformats.org/officeDocument/2006/relationships/hyperlink" Target="http://www.plants.usda.gov/java/profile?symbol=PONO3" TargetMode="External"/><Relationship Id="rId1718" Type="http://schemas.openxmlformats.org/officeDocument/2006/relationships/hyperlink" Target="http://www.plants.usda.gov/java/profile?symbol=SARU" TargetMode="External"/><Relationship Id="rId1925" Type="http://schemas.openxmlformats.org/officeDocument/2006/relationships/hyperlink" Target="http://www.plants.usda.gov/java/profile?symbol=TRFR" TargetMode="External"/><Relationship Id="rId299" Type="http://schemas.openxmlformats.org/officeDocument/2006/relationships/hyperlink" Target="http://www.plants.usda.gov/java/profile?symbol=ERANA3" TargetMode="External"/><Relationship Id="rId2187" Type="http://schemas.openxmlformats.org/officeDocument/2006/relationships/hyperlink" Target="http://www.plants.usda.gov/java/profile?symbol=EUMAB" TargetMode="External"/><Relationship Id="rId2394" Type="http://schemas.openxmlformats.org/officeDocument/2006/relationships/hyperlink" Target="http://www.plants.usda.gov/java/profile?symbol=RUFL" TargetMode="External"/><Relationship Id="rId159" Type="http://schemas.openxmlformats.org/officeDocument/2006/relationships/hyperlink" Target="http://www.plants.usda.gov/java/profile?symbol=CASC11" TargetMode="External"/><Relationship Id="rId366" Type="http://schemas.openxmlformats.org/officeDocument/2006/relationships/hyperlink" Target="http://www.plants.usda.gov/java/profile?symbol=MENI" TargetMode="External"/><Relationship Id="rId573" Type="http://schemas.openxmlformats.org/officeDocument/2006/relationships/hyperlink" Target="http://www.plants.usda.gov/java/profile?symbol=APAN2" TargetMode="External"/><Relationship Id="rId780" Type="http://schemas.openxmlformats.org/officeDocument/2006/relationships/hyperlink" Target="http://www.plants.usda.gov/java/profile?symbol=CHALS3" TargetMode="External"/><Relationship Id="rId2047" Type="http://schemas.openxmlformats.org/officeDocument/2006/relationships/hyperlink" Target="http://www.plants.usda.gov/about_adv_search.html" TargetMode="External"/><Relationship Id="rId2254" Type="http://schemas.openxmlformats.org/officeDocument/2006/relationships/hyperlink" Target="http://www.plants.usda.gov/java/profile?symbol=MOPUP" TargetMode="External"/><Relationship Id="rId2461" Type="http://schemas.openxmlformats.org/officeDocument/2006/relationships/hyperlink" Target="http://www.plants.usda.gov/java/profile?symbol=SYALA" TargetMode="External"/><Relationship Id="rId226" Type="http://schemas.openxmlformats.org/officeDocument/2006/relationships/hyperlink" Target="http://www.plants.usda.gov/java/profile?symbol=DIOVA" TargetMode="External"/><Relationship Id="rId433" Type="http://schemas.openxmlformats.org/officeDocument/2006/relationships/hyperlink" Target="http://www.plants.usda.gov/java/profile?symbol=SCMI2" TargetMode="External"/><Relationship Id="rId878" Type="http://schemas.openxmlformats.org/officeDocument/2006/relationships/hyperlink" Target="http://www.plants.usda.gov/java/profile?symbol=CYANA" TargetMode="External"/><Relationship Id="rId1063" Type="http://schemas.openxmlformats.org/officeDocument/2006/relationships/hyperlink" Target="http://www.plants.usda.gov/java/profile?symbol=GEANA" TargetMode="External"/><Relationship Id="rId1270" Type="http://schemas.openxmlformats.org/officeDocument/2006/relationships/hyperlink" Target="http://www.plants.usda.gov/java/profile?symbol=LIDUA" TargetMode="External"/><Relationship Id="rId2114" Type="http://schemas.openxmlformats.org/officeDocument/2006/relationships/hyperlink" Target="http://www.plants.usda.gov/java/profile?symbol=CAAL27" TargetMode="External"/><Relationship Id="rId2559" Type="http://schemas.openxmlformats.org/officeDocument/2006/relationships/hyperlink" Target="http://www.plants.usda.gov/java/profile?symbol=POSA5" TargetMode="External"/><Relationship Id="rId640" Type="http://schemas.openxmlformats.org/officeDocument/2006/relationships/hyperlink" Target="http://www.plants.usda.gov/java/profile?symbol=ASCAC6" TargetMode="External"/><Relationship Id="rId738" Type="http://schemas.openxmlformats.org/officeDocument/2006/relationships/hyperlink" Target="http://www.plants.usda.gov/java/profile?symbol=CEARV3" TargetMode="External"/><Relationship Id="rId945" Type="http://schemas.openxmlformats.org/officeDocument/2006/relationships/hyperlink" Target="http://www.plants.usda.gov/java/profile?symbol=DRCA11" TargetMode="External"/><Relationship Id="rId1368" Type="http://schemas.openxmlformats.org/officeDocument/2006/relationships/hyperlink" Target="http://www.plants.usda.gov/java/profile?symbol=MINY" TargetMode="External"/><Relationship Id="rId1575" Type="http://schemas.openxmlformats.org/officeDocument/2006/relationships/hyperlink" Target="http://www.plants.usda.gov/java/profile?symbol=POHY2" TargetMode="External"/><Relationship Id="rId1782" Type="http://schemas.openxmlformats.org/officeDocument/2006/relationships/hyperlink" Target="http://www.plants.usda.gov/java/profile?symbol=SOCA3" TargetMode="External"/><Relationship Id="rId2321" Type="http://schemas.openxmlformats.org/officeDocument/2006/relationships/hyperlink" Target="http://www.plants.usda.gov/java/profile?symbol=PYASA" TargetMode="External"/><Relationship Id="rId2419" Type="http://schemas.openxmlformats.org/officeDocument/2006/relationships/hyperlink" Target="http://www.plants.usda.gov/java/profile?symbol=RULA3" TargetMode="External"/><Relationship Id="rId74" Type="http://schemas.openxmlformats.org/officeDocument/2006/relationships/hyperlink" Target="http://www.plants.usda.gov/java/profile?symbol=CACO7" TargetMode="External"/><Relationship Id="rId500" Type="http://schemas.openxmlformats.org/officeDocument/2006/relationships/hyperlink" Target="http://www.plants.usda.gov/java/profile?symbol=AGSK" TargetMode="External"/><Relationship Id="rId805" Type="http://schemas.openxmlformats.org/officeDocument/2006/relationships/hyperlink" Target="http://www.plants.usda.gov/java/profile?symbol=CLVU" TargetMode="External"/><Relationship Id="rId1130" Type="http://schemas.openxmlformats.org/officeDocument/2006/relationships/hyperlink" Target="http://www.plants.usda.gov/java/profile?symbol=HEPAS" TargetMode="External"/><Relationship Id="rId1228" Type="http://schemas.openxmlformats.org/officeDocument/2006/relationships/hyperlink" Target="http://www.plants.usda.gov/java/profile?symbol=LEINI2" TargetMode="External"/><Relationship Id="rId1435" Type="http://schemas.openxmlformats.org/officeDocument/2006/relationships/hyperlink" Target="http://www.plants.usda.gov/java/profile?symbol=ORLU" TargetMode="External"/><Relationship Id="rId1642" Type="http://schemas.openxmlformats.org/officeDocument/2006/relationships/hyperlink" Target="http://www.plants.usda.gov/java/profile?symbol=PSLA3" TargetMode="External"/><Relationship Id="rId1947" Type="http://schemas.openxmlformats.org/officeDocument/2006/relationships/hyperlink" Target="http://www.plants.usda.gov/java/profile?symbol=UTIN2" TargetMode="External"/><Relationship Id="rId1502" Type="http://schemas.openxmlformats.org/officeDocument/2006/relationships/hyperlink" Target="http://www.plants.usda.gov/java/profile?symbol=PHSUS2" TargetMode="External"/><Relationship Id="rId1807" Type="http://schemas.openxmlformats.org/officeDocument/2006/relationships/hyperlink" Target="http://www.plants.usda.gov/java/profile?symbol=SOPA2" TargetMode="External"/><Relationship Id="rId290" Type="http://schemas.openxmlformats.org/officeDocument/2006/relationships/hyperlink" Target="http://www.plants.usda.gov/java/profile?symbol=ERHY" TargetMode="External"/><Relationship Id="rId388" Type="http://schemas.openxmlformats.org/officeDocument/2006/relationships/hyperlink" Target="http://www.plants.usda.gov/java/profile?symbol=PADID" TargetMode="External"/><Relationship Id="rId2069" Type="http://schemas.openxmlformats.org/officeDocument/2006/relationships/hyperlink" Target="http://www.plants.usda.gov/java/profile?symbol=ALIN2" TargetMode="External"/><Relationship Id="rId150" Type="http://schemas.openxmlformats.org/officeDocument/2006/relationships/hyperlink" Target="http://www.plants.usda.gov/java/profile?symbol=CAPR6" TargetMode="External"/><Relationship Id="rId595" Type="http://schemas.openxmlformats.org/officeDocument/2006/relationships/hyperlink" Target="http://www.plants.usda.gov/java/profile?symbol=ARAN7" TargetMode="External"/><Relationship Id="rId2276" Type="http://schemas.openxmlformats.org/officeDocument/2006/relationships/hyperlink" Target="http://www.plants.usda.gov/java/profile?symbol=PHDIL6" TargetMode="External"/><Relationship Id="rId2483" Type="http://schemas.openxmlformats.org/officeDocument/2006/relationships/hyperlink" Target="http://www.plants.usda.gov/java/profile?symbol=VIDE" TargetMode="External"/><Relationship Id="rId248" Type="http://schemas.openxmlformats.org/officeDocument/2006/relationships/hyperlink" Target="http://www.plants.usda.gov/java/profile?symbol=ECWA" TargetMode="External"/><Relationship Id="rId455" Type="http://schemas.openxmlformats.org/officeDocument/2006/relationships/hyperlink" Target="http://www.plants.usda.gov/java/profile?symbol=TRFL2" TargetMode="External"/><Relationship Id="rId662" Type="http://schemas.openxmlformats.org/officeDocument/2006/relationships/hyperlink" Target="http://www.plants.usda.gov/java/profile?symbol=BAALM" TargetMode="External"/><Relationship Id="rId1085" Type="http://schemas.openxmlformats.org/officeDocument/2006/relationships/hyperlink" Target="http://www.plants.usda.gov/java/profile?symbol=GEVE" TargetMode="External"/><Relationship Id="rId1292" Type="http://schemas.openxmlformats.org/officeDocument/2006/relationships/hyperlink" Target="http://www.plants.usda.gov/java/profile?symbol=LOSI" TargetMode="External"/><Relationship Id="rId2136" Type="http://schemas.openxmlformats.org/officeDocument/2006/relationships/hyperlink" Target="http://www.plants.usda.gov/java/profile?symbol=CLHA" TargetMode="External"/><Relationship Id="rId2343" Type="http://schemas.openxmlformats.org/officeDocument/2006/relationships/hyperlink" Target="http://www.plants.usda.gov/java/profile?symbol=QURUA" TargetMode="External"/><Relationship Id="rId2550" Type="http://schemas.openxmlformats.org/officeDocument/2006/relationships/hyperlink" Target="http://www.plants.usda.gov/java/profile?symbol=LAVE" TargetMode="External"/><Relationship Id="rId108" Type="http://schemas.openxmlformats.org/officeDocument/2006/relationships/hyperlink" Target="http://www.plants.usda.gov/java/profile?symbol=CAHI5" TargetMode="External"/><Relationship Id="rId315" Type="http://schemas.openxmlformats.org/officeDocument/2006/relationships/hyperlink" Target="http://www.plants.usda.gov/java/profile?symbol=GLGRG" TargetMode="External"/><Relationship Id="rId522" Type="http://schemas.openxmlformats.org/officeDocument/2006/relationships/hyperlink" Target="http://www.plants.usda.gov/java/profile?symbol=ALCAM" TargetMode="External"/><Relationship Id="rId967" Type="http://schemas.openxmlformats.org/officeDocument/2006/relationships/hyperlink" Target="http://www.plants.usda.gov/java/profile?symbol=EPCIC" TargetMode="External"/><Relationship Id="rId1152" Type="http://schemas.openxmlformats.org/officeDocument/2006/relationships/hyperlink" Target="http://www.plants.usda.gov/java/profile?symbol=HEVIM3" TargetMode="External"/><Relationship Id="rId1597" Type="http://schemas.openxmlformats.org/officeDocument/2006/relationships/hyperlink" Target="http://www.plants.usda.gov/java/profile?symbol=PODI" TargetMode="External"/><Relationship Id="rId2203" Type="http://schemas.openxmlformats.org/officeDocument/2006/relationships/hyperlink" Target="http://www.plants.usda.gov/java/profile?symbol=HEBI2" TargetMode="External"/><Relationship Id="rId2410" Type="http://schemas.openxmlformats.org/officeDocument/2006/relationships/hyperlink" Target="http://www.plants.usda.gov/java/profile?symbol=RUPUP2" TargetMode="External"/><Relationship Id="rId96" Type="http://schemas.openxmlformats.org/officeDocument/2006/relationships/hyperlink" Target="http://www.plants.usda.gov/java/profile?symbol=CAFO4" TargetMode="External"/><Relationship Id="rId827" Type="http://schemas.openxmlformats.org/officeDocument/2006/relationships/hyperlink" Target="http://www.plants.usda.gov/java/profile?symbol=COLA5" TargetMode="External"/><Relationship Id="rId1012" Type="http://schemas.openxmlformats.org/officeDocument/2006/relationships/hyperlink" Target="http://www.plants.usda.gov/java/profile?symbol=EUSE3" TargetMode="External"/><Relationship Id="rId1457" Type="http://schemas.openxmlformats.org/officeDocument/2006/relationships/hyperlink" Target="http://www.plants.usda.gov/java/profile?symbol=PAPS5" TargetMode="External"/><Relationship Id="rId1664" Type="http://schemas.openxmlformats.org/officeDocument/2006/relationships/hyperlink" Target="http://www.plants.usda.gov/java/profile?symbol=RAMA2" TargetMode="External"/><Relationship Id="rId1871" Type="http://schemas.openxmlformats.org/officeDocument/2006/relationships/hyperlink" Target="http://www.plants.usda.gov/java/profile?symbol=SYLAH" TargetMode="External"/><Relationship Id="rId2508" Type="http://schemas.openxmlformats.org/officeDocument/2006/relationships/hyperlink" Target="http://www.plants.usda.gov/java/profile?symbol=CASP14" TargetMode="External"/><Relationship Id="rId1317" Type="http://schemas.openxmlformats.org/officeDocument/2006/relationships/hyperlink" Target="http://www.plants.usda.gov/java/profile?symbol=LYDI3" TargetMode="External"/><Relationship Id="rId1524" Type="http://schemas.openxmlformats.org/officeDocument/2006/relationships/hyperlink" Target="http://www.plants.usda.gov/java/profile?symbol=PIFO" TargetMode="External"/><Relationship Id="rId1731" Type="http://schemas.openxmlformats.org/officeDocument/2006/relationships/hyperlink" Target="http://www.plants.usda.gov/java/profile?symbol=SCPA2" TargetMode="External"/><Relationship Id="rId1969" Type="http://schemas.openxmlformats.org/officeDocument/2006/relationships/hyperlink" Target="http://www.plants.usda.gov/java/profile?symbol=VEST" TargetMode="External"/><Relationship Id="rId23" Type="http://schemas.openxmlformats.org/officeDocument/2006/relationships/hyperlink" Target="http://www.plants.usda.gov/java/profile?symbol=ARRA2" TargetMode="External"/><Relationship Id="rId1829" Type="http://schemas.openxmlformats.org/officeDocument/2006/relationships/hyperlink" Target="http://www.plants.usda.gov/java/profile?symbol=SPLU2" TargetMode="External"/><Relationship Id="rId2298" Type="http://schemas.openxmlformats.org/officeDocument/2006/relationships/hyperlink" Target="http://www.plants.usda.gov/java/profile?symbol=POGR4" TargetMode="External"/><Relationship Id="rId172" Type="http://schemas.openxmlformats.org/officeDocument/2006/relationships/hyperlink" Target="http://www.plants.usda.gov/java/profile?symbol=CATE3" TargetMode="External"/><Relationship Id="rId477" Type="http://schemas.openxmlformats.org/officeDocument/2006/relationships/hyperlink" Target="http://www.plants.usda.gov/java/profile?symbol=ACVI" TargetMode="External"/><Relationship Id="rId684" Type="http://schemas.openxmlformats.org/officeDocument/2006/relationships/hyperlink" Target="http://www.plants.usda.gov/java/profile?symbol=BOAS" TargetMode="External"/><Relationship Id="rId2060" Type="http://schemas.openxmlformats.org/officeDocument/2006/relationships/hyperlink" Target="http://www.plants.usda.gov/java/profile?symbol=ACSP2" TargetMode="External"/><Relationship Id="rId2158" Type="http://schemas.openxmlformats.org/officeDocument/2006/relationships/hyperlink" Target="http://www.plants.usda.gov/java/profile?symbol=CRMO2" TargetMode="External"/><Relationship Id="rId2365" Type="http://schemas.openxmlformats.org/officeDocument/2006/relationships/hyperlink" Target="http://www.plants.usda.gov/java/profile?symbol=RIHI" TargetMode="External"/><Relationship Id="rId337" Type="http://schemas.openxmlformats.org/officeDocument/2006/relationships/hyperlink" Target="http://www.plants.usda.gov/java/profile?symbol=JUEF" TargetMode="External"/><Relationship Id="rId891" Type="http://schemas.openxmlformats.org/officeDocument/2006/relationships/hyperlink" Target="http://www.plants.usda.gov/java/profile?symbol=DAVI6" TargetMode="External"/><Relationship Id="rId989" Type="http://schemas.openxmlformats.org/officeDocument/2006/relationships/hyperlink" Target="http://www.plants.usda.gov/java/profile?symbol=ERST3" TargetMode="External"/><Relationship Id="rId2018" Type="http://schemas.openxmlformats.org/officeDocument/2006/relationships/hyperlink" Target="http://www.plants.usda.gov/java/profile?symbol=VIRE2" TargetMode="External"/><Relationship Id="rId2572" Type="http://schemas.openxmlformats.org/officeDocument/2006/relationships/hyperlink" Target="http://www.plants.usda.gov/java/profile?symbol=STHE9" TargetMode="External"/><Relationship Id="rId544" Type="http://schemas.openxmlformats.org/officeDocument/2006/relationships/hyperlink" Target="http://www.plants.usda.gov/java/profile?symbol=AMTRT2" TargetMode="External"/><Relationship Id="rId751" Type="http://schemas.openxmlformats.org/officeDocument/2006/relationships/hyperlink" Target="http://www.plants.usda.gov/java/profile?symbol=CHMI8" TargetMode="External"/><Relationship Id="rId849" Type="http://schemas.openxmlformats.org/officeDocument/2006/relationships/hyperlink" Target="http://www.plants.usda.gov/java/profile?symbol=CRGLS" TargetMode="External"/><Relationship Id="rId1174" Type="http://schemas.openxmlformats.org/officeDocument/2006/relationships/hyperlink" Target="http://www.plants.usda.gov/java/profile?symbol=HULU2" TargetMode="External"/><Relationship Id="rId1381" Type="http://schemas.openxmlformats.org/officeDocument/2006/relationships/hyperlink" Target="http://www.plants.usda.gov/java/profile?symbol=MOPU" TargetMode="External"/><Relationship Id="rId1479" Type="http://schemas.openxmlformats.org/officeDocument/2006/relationships/hyperlink" Target="http://www.plants.usda.gov/java/profile?symbol=PEGR5" TargetMode="External"/><Relationship Id="rId1686" Type="http://schemas.openxmlformats.org/officeDocument/2006/relationships/hyperlink" Target="http://www.plants.usda.gov/java/profile?symbol=RUHIP" TargetMode="External"/><Relationship Id="rId2225" Type="http://schemas.openxmlformats.org/officeDocument/2006/relationships/hyperlink" Target="http://www.plants.usda.gov/java/profile?symbol=LIBE3" TargetMode="External"/><Relationship Id="rId2432" Type="http://schemas.openxmlformats.org/officeDocument/2006/relationships/hyperlink" Target="http://www.plants.usda.gov/java/profile?symbol=SALUL2" TargetMode="External"/><Relationship Id="rId404" Type="http://schemas.openxmlformats.org/officeDocument/2006/relationships/hyperlink" Target="http://www.plants.usda.gov/java/profile?symbol=POPA" TargetMode="External"/><Relationship Id="rId611" Type="http://schemas.openxmlformats.org/officeDocument/2006/relationships/hyperlink" Target="http://www.plants.usda.gov/java/profile?symbol=ARVU" TargetMode="External"/><Relationship Id="rId1034" Type="http://schemas.openxmlformats.org/officeDocument/2006/relationships/hyperlink" Target="http://www.plants.usda.gov/java/profile?symbol=FRVIG2" TargetMode="External"/><Relationship Id="rId1241" Type="http://schemas.openxmlformats.org/officeDocument/2006/relationships/hyperlink" Target="http://www.plants.usda.gov/java/profile?symbol=LEVI3" TargetMode="External"/><Relationship Id="rId1339" Type="http://schemas.openxmlformats.org/officeDocument/2006/relationships/hyperlink" Target="http://www.plants.usda.gov/java/profile?symbol=MAPIP4" TargetMode="External"/><Relationship Id="rId1893" Type="http://schemas.openxmlformats.org/officeDocument/2006/relationships/hyperlink" Target="http://www.plants.usda.gov/java/profile?symbol=SYPU" TargetMode="External"/><Relationship Id="rId709" Type="http://schemas.openxmlformats.org/officeDocument/2006/relationships/hyperlink" Target="http://www.plants.usda.gov/java/profile?symbol=CAPAP6" TargetMode="External"/><Relationship Id="rId916" Type="http://schemas.openxmlformats.org/officeDocument/2006/relationships/hyperlink" Target="http://www.plants.usda.gov/java/profile?symbol=DEGL4" TargetMode="External"/><Relationship Id="rId1101" Type="http://schemas.openxmlformats.org/officeDocument/2006/relationships/hyperlink" Target="http://www.plants.usda.gov/java/profile?symbol=HADE" TargetMode="External"/><Relationship Id="rId1546" Type="http://schemas.openxmlformats.org/officeDocument/2006/relationships/hyperlink" Target="http://www.plants.usda.gov/java/profile?symbol=PLPS2" TargetMode="External"/><Relationship Id="rId1753" Type="http://schemas.openxmlformats.org/officeDocument/2006/relationships/hyperlink" Target="http://www.plants.usda.gov/java/profile?symbol=SHRO2" TargetMode="External"/><Relationship Id="rId1960" Type="http://schemas.openxmlformats.org/officeDocument/2006/relationships/hyperlink" Target="http://www.plants.usda.gov/java/profile?symbol=VEEN2" TargetMode="External"/><Relationship Id="rId45" Type="http://schemas.openxmlformats.org/officeDocument/2006/relationships/hyperlink" Target="http://www.plants.usda.gov/java/profile?symbol=CACAC10" TargetMode="External"/><Relationship Id="rId1406" Type="http://schemas.openxmlformats.org/officeDocument/2006/relationships/hyperlink" Target="http://www.plants.usda.gov/java/profile?symbol=NULU" TargetMode="External"/><Relationship Id="rId1613" Type="http://schemas.openxmlformats.org/officeDocument/2006/relationships/hyperlink" Target="http://www.plants.usda.gov/java/profile?symbol=POST2" TargetMode="External"/><Relationship Id="rId1820" Type="http://schemas.openxmlformats.org/officeDocument/2006/relationships/hyperlink" Target="http://www.plants.usda.gov/java/profile?symbol=SPEU" TargetMode="External"/><Relationship Id="rId194" Type="http://schemas.openxmlformats.org/officeDocument/2006/relationships/hyperlink" Target="http://www.plants.usda.gov/java/profile?symbol=CYAC2" TargetMode="External"/><Relationship Id="rId1918" Type="http://schemas.openxmlformats.org/officeDocument/2006/relationships/hyperlink" Target="http://www.plants.usda.gov/java/profile?symbol=TORAN" TargetMode="External"/><Relationship Id="rId2082" Type="http://schemas.openxmlformats.org/officeDocument/2006/relationships/hyperlink" Target="http://www.plants.usda.gov/java/profile?symbol=AMST80" TargetMode="External"/><Relationship Id="rId261" Type="http://schemas.openxmlformats.org/officeDocument/2006/relationships/hyperlink" Target="http://www.plants.usda.gov/java/profile?symbol=ELOLO" TargetMode="External"/><Relationship Id="rId499" Type="http://schemas.openxmlformats.org/officeDocument/2006/relationships/hyperlink" Target="http://www.plants.usda.gov/java/profile?symbol=AGPU5" TargetMode="External"/><Relationship Id="rId2387" Type="http://schemas.openxmlformats.org/officeDocument/2006/relationships/hyperlink" Target="http://www.plants.usda.gov/java/profile?symbol=ROWOW" TargetMode="External"/><Relationship Id="rId359" Type="http://schemas.openxmlformats.org/officeDocument/2006/relationships/hyperlink" Target="http://www.plants.usda.gov/java/profile?symbol=LUACA2" TargetMode="External"/><Relationship Id="rId566" Type="http://schemas.openxmlformats.org/officeDocument/2006/relationships/hyperlink" Target="http://www.plants.usda.gov/java/profile?symbol=ANNE" TargetMode="External"/><Relationship Id="rId773" Type="http://schemas.openxmlformats.org/officeDocument/2006/relationships/hyperlink" Target="http://www.plants.usda.gov/java/profile?symbol=CHGL3" TargetMode="External"/><Relationship Id="rId1196" Type="http://schemas.openxmlformats.org/officeDocument/2006/relationships/hyperlink" Target="http://www.plants.usda.gov/java/profile?symbol=IOLI2" TargetMode="External"/><Relationship Id="rId2247" Type="http://schemas.openxmlformats.org/officeDocument/2006/relationships/hyperlink" Target="http://www.plants.usda.gov/java/profile?symbol=MEPAP" TargetMode="External"/><Relationship Id="rId2454" Type="http://schemas.openxmlformats.org/officeDocument/2006/relationships/hyperlink" Target="http://www.plants.usda.gov/java/profile?symbol=SPCOC" TargetMode="External"/><Relationship Id="rId121" Type="http://schemas.openxmlformats.org/officeDocument/2006/relationships/hyperlink" Target="http://www.plants.usda.gov/java/profile?symbol=CALAA" TargetMode="External"/><Relationship Id="rId219" Type="http://schemas.openxmlformats.org/officeDocument/2006/relationships/hyperlink" Target="http://www.plants.usda.gov/java/profile?symbol=DILE2" TargetMode="External"/><Relationship Id="rId426" Type="http://schemas.openxmlformats.org/officeDocument/2006/relationships/hyperlink" Target="http://www.plants.usda.gov/java/profile?symbol=SCPUP5" TargetMode="External"/><Relationship Id="rId633" Type="http://schemas.openxmlformats.org/officeDocument/2006/relationships/hyperlink" Target="http://www.plants.usda.gov/java/profile?symbol=ASVE" TargetMode="External"/><Relationship Id="rId980" Type="http://schemas.openxmlformats.org/officeDocument/2006/relationships/hyperlink" Target="http://www.plants.usda.gov/java/profile?symbol=EQSC" TargetMode="External"/><Relationship Id="rId1056" Type="http://schemas.openxmlformats.org/officeDocument/2006/relationships/hyperlink" Target="http://www.plants.usda.gov/java/profile?symbol=GAPU3" TargetMode="External"/><Relationship Id="rId1263" Type="http://schemas.openxmlformats.org/officeDocument/2006/relationships/hyperlink" Target="http://www.plants.usda.gov/java/profile?symbol=LISQG" TargetMode="External"/><Relationship Id="rId2107" Type="http://schemas.openxmlformats.org/officeDocument/2006/relationships/hyperlink" Target="http://www.plants.usda.gov/java/profile?symbol=BEPUG" TargetMode="External"/><Relationship Id="rId2314" Type="http://schemas.openxmlformats.org/officeDocument/2006/relationships/hyperlink" Target="http://www.plants.usda.gov/java/profile?symbol=PRSES" TargetMode="External"/><Relationship Id="rId840" Type="http://schemas.openxmlformats.org/officeDocument/2006/relationships/hyperlink" Target="http://www.plants.usda.gov/java/profile?symbol=COMI2" TargetMode="External"/><Relationship Id="rId938" Type="http://schemas.openxmlformats.org/officeDocument/2006/relationships/hyperlink" Target="http://www.plants.usda.gov/java/profile?symbol=DOUMU" TargetMode="External"/><Relationship Id="rId1470" Type="http://schemas.openxmlformats.org/officeDocument/2006/relationships/hyperlink" Target="http://www.plants.usda.gov/java/profile?symbol=PEAR6" TargetMode="External"/><Relationship Id="rId1568" Type="http://schemas.openxmlformats.org/officeDocument/2006/relationships/hyperlink" Target="http://www.plants.usda.gov/java/profile?symbol=POAME" TargetMode="External"/><Relationship Id="rId1775" Type="http://schemas.openxmlformats.org/officeDocument/2006/relationships/hyperlink" Target="http://www.plants.usda.gov/java/profile?symbol=SIMO2" TargetMode="External"/><Relationship Id="rId2521" Type="http://schemas.openxmlformats.org/officeDocument/2006/relationships/hyperlink" Target="http://www.plants.usda.gov/java/profile?symbol=CUCO2" TargetMode="External"/><Relationship Id="rId67" Type="http://schemas.openxmlformats.org/officeDocument/2006/relationships/hyperlink" Target="http://www.plants.usda.gov/java/profile?symbol=CABR10" TargetMode="External"/><Relationship Id="rId700" Type="http://schemas.openxmlformats.org/officeDocument/2006/relationships/hyperlink" Target="http://www.plants.usda.gov/java/profile?symbol=CAIN2" TargetMode="External"/><Relationship Id="rId1123" Type="http://schemas.openxmlformats.org/officeDocument/2006/relationships/hyperlink" Target="http://www.plants.usda.gov/java/profile?symbol=HEMO2" TargetMode="External"/><Relationship Id="rId1330" Type="http://schemas.openxmlformats.org/officeDocument/2006/relationships/hyperlink" Target="http://www.plants.usda.gov/java/profile?symbol=LYTH2" TargetMode="External"/><Relationship Id="rId1428" Type="http://schemas.openxmlformats.org/officeDocument/2006/relationships/hyperlink" Target="http://www.plants.usda.gov/java/profile?symbol=ONSE" TargetMode="External"/><Relationship Id="rId1635" Type="http://schemas.openxmlformats.org/officeDocument/2006/relationships/hyperlink" Target="http://www.plants.usda.gov/java/profile?symbol=PRPA3" TargetMode="External"/><Relationship Id="rId1982" Type="http://schemas.openxmlformats.org/officeDocument/2006/relationships/hyperlink" Target="http://www.plants.usda.gov/java/profile?symbol=VEFAC" TargetMode="External"/><Relationship Id="rId1842" Type="http://schemas.openxmlformats.org/officeDocument/2006/relationships/hyperlink" Target="http://www.plants.usda.gov/java/profile?symbol=STLOL" TargetMode="External"/><Relationship Id="rId1702" Type="http://schemas.openxmlformats.org/officeDocument/2006/relationships/hyperlink" Target="http://www.plants.usda.gov/java/profile?symbol=RUSAM" TargetMode="External"/><Relationship Id="rId283" Type="http://schemas.openxmlformats.org/officeDocument/2006/relationships/hyperlink" Target="http://www.plants.usda.gov/java/profile?symbol=ELTRT" TargetMode="External"/><Relationship Id="rId490" Type="http://schemas.openxmlformats.org/officeDocument/2006/relationships/hyperlink" Target="http://www.plants.usda.gov/java/profile?symbol=ADPE" TargetMode="External"/><Relationship Id="rId2171" Type="http://schemas.openxmlformats.org/officeDocument/2006/relationships/hyperlink" Target="http://www.plants.usda.gov/java/profile?symbol=DAVIV" TargetMode="External"/><Relationship Id="rId143" Type="http://schemas.openxmlformats.org/officeDocument/2006/relationships/hyperlink" Target="http://www.plants.usda.gov/java/profile?symbol=CAOL2" TargetMode="External"/><Relationship Id="rId350" Type="http://schemas.openxmlformats.org/officeDocument/2006/relationships/hyperlink" Target="http://www.plants.usda.gov/java/profile?symbol=LELE2" TargetMode="External"/><Relationship Id="rId588" Type="http://schemas.openxmlformats.org/officeDocument/2006/relationships/hyperlink" Target="http://www.plants.usda.gov/java/profile?symbol=ARNU2" TargetMode="External"/><Relationship Id="rId795" Type="http://schemas.openxmlformats.org/officeDocument/2006/relationships/hyperlink" Target="http://www.plants.usda.gov/java/profile?symbol=CIFL" TargetMode="External"/><Relationship Id="rId2031" Type="http://schemas.openxmlformats.org/officeDocument/2006/relationships/hyperlink" Target="http://www.plants.usda.gov/java/profile?symbol=WOOB2" TargetMode="External"/><Relationship Id="rId2269" Type="http://schemas.openxmlformats.org/officeDocument/2006/relationships/hyperlink" Target="http://www.plants.usda.gov/java/profile?symbol=PECAC3" TargetMode="External"/><Relationship Id="rId2476" Type="http://schemas.openxmlformats.org/officeDocument/2006/relationships/hyperlink" Target="http://www.plants.usda.gov/java/profile?symbol=TORAN" TargetMode="External"/><Relationship Id="rId9" Type="http://schemas.openxmlformats.org/officeDocument/2006/relationships/hyperlink" Target="http://www.plants.usda.gov/java/profile?symbol=ANGE" TargetMode="External"/><Relationship Id="rId210" Type="http://schemas.openxmlformats.org/officeDocument/2006/relationships/hyperlink" Target="http://www.plants.usda.gov/java/profile?symbol=DIACF" TargetMode="External"/><Relationship Id="rId448" Type="http://schemas.openxmlformats.org/officeDocument/2006/relationships/hyperlink" Target="http://www.plants.usda.gov/java/profile?symbol=SPCOC2" TargetMode="External"/><Relationship Id="rId655" Type="http://schemas.openxmlformats.org/officeDocument/2006/relationships/hyperlink" Target="http://www.plants.usda.gov/java/profile?symbol=AUGR" TargetMode="External"/><Relationship Id="rId862" Type="http://schemas.openxmlformats.org/officeDocument/2006/relationships/hyperlink" Target="http://www.plants.usda.gov/java/profile?symbol=CUCO3" TargetMode="External"/><Relationship Id="rId1078" Type="http://schemas.openxmlformats.org/officeDocument/2006/relationships/hyperlink" Target="http://www.plants.usda.gov/java/profile?symbol=GEAL3" TargetMode="External"/><Relationship Id="rId1285" Type="http://schemas.openxmlformats.org/officeDocument/2006/relationships/hyperlink" Target="http://www.plants.usda.gov/java/profile?symbol=LICA13" TargetMode="External"/><Relationship Id="rId1492" Type="http://schemas.openxmlformats.org/officeDocument/2006/relationships/hyperlink" Target="http://www.plants.usda.gov/java/profile?symbol=PHRU8" TargetMode="External"/><Relationship Id="rId2129" Type="http://schemas.openxmlformats.org/officeDocument/2006/relationships/hyperlink" Target="http://www.plants.usda.gov/java/profile?symbol=CEOC2" TargetMode="External"/><Relationship Id="rId2336" Type="http://schemas.openxmlformats.org/officeDocument/2006/relationships/hyperlink" Target="http://www.plants.usda.gov/java/profile?symbol=QUMA3" TargetMode="External"/><Relationship Id="rId2543" Type="http://schemas.openxmlformats.org/officeDocument/2006/relationships/hyperlink" Target="http://www.plants.usda.gov/java/profile?symbol=HULUP" TargetMode="External"/><Relationship Id="rId308" Type="http://schemas.openxmlformats.org/officeDocument/2006/relationships/hyperlink" Target="http://www.plants.usda.gov/java/profile?symbol=FESAS" TargetMode="External"/><Relationship Id="rId515" Type="http://schemas.openxmlformats.org/officeDocument/2006/relationships/hyperlink" Target="http://www.plants.usda.gov/java/profile?symbol=ALGR" TargetMode="External"/><Relationship Id="rId722" Type="http://schemas.openxmlformats.org/officeDocument/2006/relationships/hyperlink" Target="http://www.plants.usda.gov/java/profile?symbol=CAAP2" TargetMode="External"/><Relationship Id="rId1145" Type="http://schemas.openxmlformats.org/officeDocument/2006/relationships/hyperlink" Target="http://www.plants.usda.gov/java/profile?symbol=HERE" TargetMode="External"/><Relationship Id="rId1352" Type="http://schemas.openxmlformats.org/officeDocument/2006/relationships/hyperlink" Target="http://www.plants.usda.gov/java/profile?symbol=MEPI" TargetMode="External"/><Relationship Id="rId1797" Type="http://schemas.openxmlformats.org/officeDocument/2006/relationships/hyperlink" Target="http://www.plants.usda.gov/java/profile?symbol=SOGI" TargetMode="External"/><Relationship Id="rId2403" Type="http://schemas.openxmlformats.org/officeDocument/2006/relationships/hyperlink" Target="http://www.plants.usda.gov/java/profile?symbol=RUMI4" TargetMode="External"/><Relationship Id="rId89" Type="http://schemas.openxmlformats.org/officeDocument/2006/relationships/hyperlink" Target="http://www.plants.usda.gov/java/profile?symbol=CADO2" TargetMode="External"/><Relationship Id="rId1005" Type="http://schemas.openxmlformats.org/officeDocument/2006/relationships/hyperlink" Target="http://www.plants.usda.gov/java/profile?symbol=EUAL3" TargetMode="External"/><Relationship Id="rId1212" Type="http://schemas.openxmlformats.org/officeDocument/2006/relationships/hyperlink" Target="http://www.plants.usda.gov/java/profile?symbol=LABI" TargetMode="External"/><Relationship Id="rId1657" Type="http://schemas.openxmlformats.org/officeDocument/2006/relationships/hyperlink" Target="http://www.plants.usda.gov/java/profile?symbol=RAFA" TargetMode="External"/><Relationship Id="rId1864" Type="http://schemas.openxmlformats.org/officeDocument/2006/relationships/hyperlink" Target="http://www.plants.usda.gov/java/profile?symbol=SYERE" TargetMode="External"/><Relationship Id="rId1517" Type="http://schemas.openxmlformats.org/officeDocument/2006/relationships/hyperlink" Target="http://www.plants.usda.gov/java/profile?symbol=PHVIV3" TargetMode="External"/><Relationship Id="rId1724" Type="http://schemas.openxmlformats.org/officeDocument/2006/relationships/hyperlink" Target="http://www.plants.usda.gov/java/profile?symbol=SACA15" TargetMode="External"/><Relationship Id="rId16" Type="http://schemas.openxmlformats.org/officeDocument/2006/relationships/hyperlink" Target="http://www.plants.usda.gov/java/profile?symbol=ARDID" TargetMode="External"/><Relationship Id="rId1931" Type="http://schemas.openxmlformats.org/officeDocument/2006/relationships/hyperlink" Target="http://www.plants.usda.gov/java/profile?symbol=TRNI2" TargetMode="External"/><Relationship Id="rId2193" Type="http://schemas.openxmlformats.org/officeDocument/2006/relationships/hyperlink" Target="http://www.plants.usda.gov/java/profile?symbol=FRQU" TargetMode="External"/><Relationship Id="rId2498" Type="http://schemas.openxmlformats.org/officeDocument/2006/relationships/hyperlink" Target="http://www.plants.usda.gov/java/profile?symbol=AMBR2" TargetMode="External"/><Relationship Id="rId165" Type="http://schemas.openxmlformats.org/officeDocument/2006/relationships/hyperlink" Target="http://www.plants.usda.gov/java/profile?symbol=CASQ2" TargetMode="External"/><Relationship Id="rId372" Type="http://schemas.openxmlformats.org/officeDocument/2006/relationships/hyperlink" Target="http://www.plants.usda.gov/java/profile?symbol=MUCU3" TargetMode="External"/><Relationship Id="rId677" Type="http://schemas.openxmlformats.org/officeDocument/2006/relationships/hyperlink" Target="http://www.plants.usda.gov/java/profile?symbol=BIFR" TargetMode="External"/><Relationship Id="rId2053" Type="http://schemas.openxmlformats.org/officeDocument/2006/relationships/hyperlink" Target="http://www.plants.usda.gov/java/profile?symbol=ACNEV" TargetMode="External"/><Relationship Id="rId2260" Type="http://schemas.openxmlformats.org/officeDocument/2006/relationships/hyperlink" Target="http://www.plants.usda.gov/java/profile?symbol=OPHU" TargetMode="External"/><Relationship Id="rId2358" Type="http://schemas.openxmlformats.org/officeDocument/2006/relationships/hyperlink" Target="http://www.plants.usda.gov/java/profile?symbol=RHTR" TargetMode="External"/><Relationship Id="rId232" Type="http://schemas.openxmlformats.org/officeDocument/2006/relationships/hyperlink" Target="http://www.plants.usda.gov/java/profile?symbol=DIVI7" TargetMode="External"/><Relationship Id="rId884" Type="http://schemas.openxmlformats.org/officeDocument/2006/relationships/hyperlink" Target="http://www.plants.usda.gov/java/profile?symbol=CYRE6" TargetMode="External"/><Relationship Id="rId2120" Type="http://schemas.openxmlformats.org/officeDocument/2006/relationships/hyperlink" Target="http://www.plants.usda.gov/java/profile?symbol=CAOV2" TargetMode="External"/><Relationship Id="rId2565" Type="http://schemas.openxmlformats.org/officeDocument/2006/relationships/hyperlink" Target="http://www.plants.usda.gov/java/profile?symbol=SIAN" TargetMode="External"/><Relationship Id="rId537" Type="http://schemas.openxmlformats.org/officeDocument/2006/relationships/hyperlink" Target="http://www.plants.usda.gov/java/profile?symbol=AMAR2" TargetMode="External"/><Relationship Id="rId744" Type="http://schemas.openxmlformats.org/officeDocument/2006/relationships/hyperlink" Target="http://www.plants.usda.gov/java/profile?symbol=CHPRP" TargetMode="External"/><Relationship Id="rId951" Type="http://schemas.openxmlformats.org/officeDocument/2006/relationships/hyperlink" Target="http://www.plants.usda.gov/java/profile?symbol=DRUL2" TargetMode="External"/><Relationship Id="rId1167" Type="http://schemas.openxmlformats.org/officeDocument/2006/relationships/hyperlink" Target="http://www.plants.usda.gov/java/profile?symbol=HOPU2" TargetMode="External"/><Relationship Id="rId1374" Type="http://schemas.openxmlformats.org/officeDocument/2006/relationships/hyperlink" Target="http://www.plants.usda.gov/java/profile?symbol=MOBR2" TargetMode="External"/><Relationship Id="rId1581" Type="http://schemas.openxmlformats.org/officeDocument/2006/relationships/hyperlink" Target="http://www.plants.usda.gov/java/profile?symbol=PORA3" TargetMode="External"/><Relationship Id="rId1679" Type="http://schemas.openxmlformats.org/officeDocument/2006/relationships/hyperlink" Target="http://www.plants.usda.gov/java/profile?symbol=ROPAH" TargetMode="External"/><Relationship Id="rId2218" Type="http://schemas.openxmlformats.org/officeDocument/2006/relationships/hyperlink" Target="http://www.plants.usda.gov/java/profile?symbol=JUCI" TargetMode="External"/><Relationship Id="rId2425" Type="http://schemas.openxmlformats.org/officeDocument/2006/relationships/hyperlink" Target="http://www.plants.usda.gov/java/profile?symbol=SADI" TargetMode="External"/><Relationship Id="rId80" Type="http://schemas.openxmlformats.org/officeDocument/2006/relationships/hyperlink" Target="http://www.plants.usda.gov/java/profile?symbol=CACR4" TargetMode="External"/><Relationship Id="rId604" Type="http://schemas.openxmlformats.org/officeDocument/2006/relationships/hyperlink" Target="http://www.plants.usda.gov/java/profile?symbol=ARBI2" TargetMode="External"/><Relationship Id="rId811" Type="http://schemas.openxmlformats.org/officeDocument/2006/relationships/hyperlink" Target="http://www.plants.usda.gov/java/profile?symbol=COPA28" TargetMode="External"/><Relationship Id="rId1027" Type="http://schemas.openxmlformats.org/officeDocument/2006/relationships/hyperlink" Target="http://www.plants.usda.gov/java/profile?symbol=EUGRG" TargetMode="External"/><Relationship Id="rId1234" Type="http://schemas.openxmlformats.org/officeDocument/2006/relationships/hyperlink" Target="http://www.plants.usda.gov/java/profile?symbol=LEMI3" TargetMode="External"/><Relationship Id="rId1441" Type="http://schemas.openxmlformats.org/officeDocument/2006/relationships/hyperlink" Target="http://www.plants.usda.gov/java/profile?symbol=OSCIC" TargetMode="External"/><Relationship Id="rId1886" Type="http://schemas.openxmlformats.org/officeDocument/2006/relationships/hyperlink" Target="http://www.plants.usda.gov/java/profile?symbol=SYPI2" TargetMode="External"/><Relationship Id="rId909" Type="http://schemas.openxmlformats.org/officeDocument/2006/relationships/hyperlink" Target="http://www.plants.usda.gov/java/profile?symbol=DEPIB" TargetMode="External"/><Relationship Id="rId1301" Type="http://schemas.openxmlformats.org/officeDocument/2006/relationships/hyperlink" Target="http://www.plants.usda.gov/java/profile?symbol=LOFOD" TargetMode="External"/><Relationship Id="rId1539" Type="http://schemas.openxmlformats.org/officeDocument/2006/relationships/hyperlink" Target="http://www.plants.usda.gov/java/profile?symbol=PLFL" TargetMode="External"/><Relationship Id="rId1746" Type="http://schemas.openxmlformats.org/officeDocument/2006/relationships/hyperlink" Target="http://www.plants.usda.gov/java/profile?symbol=SETE3" TargetMode="External"/><Relationship Id="rId1953" Type="http://schemas.openxmlformats.org/officeDocument/2006/relationships/hyperlink" Target="http://www.plants.usda.gov/java/profile?symbol=VAEDC" TargetMode="External"/><Relationship Id="rId38" Type="http://schemas.openxmlformats.org/officeDocument/2006/relationships/hyperlink" Target="http://www.plants.usda.gov/java/profile?symbol=BRLA4" TargetMode="External"/><Relationship Id="rId1606" Type="http://schemas.openxmlformats.org/officeDocument/2006/relationships/hyperlink" Target="http://www.plants.usda.gov/java/profile?symbol=POPR5" TargetMode="External"/><Relationship Id="rId1813" Type="http://schemas.openxmlformats.org/officeDocument/2006/relationships/hyperlink" Target="http://www.plants.usda.gov/java/profile?symbol=SOUL" TargetMode="External"/><Relationship Id="rId187" Type="http://schemas.openxmlformats.org/officeDocument/2006/relationships/hyperlink" Target="http://www.plants.usda.gov/java/profile?symbol=CAWO2" TargetMode="External"/><Relationship Id="rId394" Type="http://schemas.openxmlformats.org/officeDocument/2006/relationships/hyperlink" Target="http://www.plants.usda.gov/java/profile?symbol=PAVIV" TargetMode="External"/><Relationship Id="rId2075" Type="http://schemas.openxmlformats.org/officeDocument/2006/relationships/hyperlink" Target="http://www.plants.usda.gov/java/profile?symbol=AMAR3" TargetMode="External"/><Relationship Id="rId2282" Type="http://schemas.openxmlformats.org/officeDocument/2006/relationships/hyperlink" Target="http://www.plants.usda.gov/java/profile?symbol=PHME13" TargetMode="External"/><Relationship Id="rId254" Type="http://schemas.openxmlformats.org/officeDocument/2006/relationships/hyperlink" Target="http://www.plants.usda.gov/java/profile?symbol=ELEL4" TargetMode="External"/><Relationship Id="rId699" Type="http://schemas.openxmlformats.org/officeDocument/2006/relationships/hyperlink" Target="http://www.plants.usda.gov/java/profile?symbol=CABU8" TargetMode="External"/><Relationship Id="rId1091" Type="http://schemas.openxmlformats.org/officeDocument/2006/relationships/hyperlink" Target="http://www.plants.usda.gov/java/profile?symbol=GRVIV" TargetMode="External"/><Relationship Id="rId2587" Type="http://schemas.openxmlformats.org/officeDocument/2006/relationships/hyperlink" Target="http://www.plants.usda.gov/java/profile?symbol=VIRI" TargetMode="External"/><Relationship Id="rId114" Type="http://schemas.openxmlformats.org/officeDocument/2006/relationships/hyperlink" Target="http://www.plants.usda.gov/java/profile?symbol=CAIN11" TargetMode="External"/><Relationship Id="rId461" Type="http://schemas.openxmlformats.org/officeDocument/2006/relationships/hyperlink" Target="http://www.plants.usda.gov/java/profile?symbol=VUEL" TargetMode="External"/><Relationship Id="rId559" Type="http://schemas.openxmlformats.org/officeDocument/2006/relationships/hyperlink" Target="http://www.plants.usda.gov/java/profile?symbol=ANQUB2" TargetMode="External"/><Relationship Id="rId766" Type="http://schemas.openxmlformats.org/officeDocument/2006/relationships/hyperlink" Target="http://www.plants.usda.gov/java/profile?symbol=CHALS2" TargetMode="External"/><Relationship Id="rId1189" Type="http://schemas.openxmlformats.org/officeDocument/2006/relationships/hyperlink" Target="http://www.plants.usda.gov/java/profile?symbol=HYMU" TargetMode="External"/><Relationship Id="rId1396" Type="http://schemas.openxmlformats.org/officeDocument/2006/relationships/hyperlink" Target="http://www.plants.usda.gov/java/profile?symbol=NAGU" TargetMode="External"/><Relationship Id="rId2142" Type="http://schemas.openxmlformats.org/officeDocument/2006/relationships/hyperlink" Target="http://www.plants.usda.gov/java/profile?symbol=CODR" TargetMode="External"/><Relationship Id="rId2447" Type="http://schemas.openxmlformats.org/officeDocument/2006/relationships/hyperlink" Target="http://www.plants.usda.gov/java/profile?symbol=SISP" TargetMode="External"/><Relationship Id="rId321" Type="http://schemas.openxmlformats.org/officeDocument/2006/relationships/hyperlink" Target="http://www.plants.usda.gov/java/profile?symbol=HIHI" TargetMode="External"/><Relationship Id="rId419" Type="http://schemas.openxmlformats.org/officeDocument/2006/relationships/hyperlink" Target="http://www.plants.usda.gov/java/profile?symbol=SCFL11" TargetMode="External"/><Relationship Id="rId626" Type="http://schemas.openxmlformats.org/officeDocument/2006/relationships/hyperlink" Target="http://www.plants.usda.gov/java/profile?symbol=ASQU" TargetMode="External"/><Relationship Id="rId973" Type="http://schemas.openxmlformats.org/officeDocument/2006/relationships/hyperlink" Target="http://www.plants.usda.gov/java/profile?symbol=EQFE" TargetMode="External"/><Relationship Id="rId1049" Type="http://schemas.openxmlformats.org/officeDocument/2006/relationships/hyperlink" Target="http://www.plants.usda.gov/java/profile?symbol=GALA2" TargetMode="External"/><Relationship Id="rId1256" Type="http://schemas.openxmlformats.org/officeDocument/2006/relationships/hyperlink" Target="http://www.plants.usda.gov/java/profile?symbol=LIPU" TargetMode="External"/><Relationship Id="rId2002" Type="http://schemas.openxmlformats.org/officeDocument/2006/relationships/hyperlink" Target="http://www.plants.usda.gov/java/profile?symbol=VIBL" TargetMode="External"/><Relationship Id="rId2307" Type="http://schemas.openxmlformats.org/officeDocument/2006/relationships/hyperlink" Target="http://www.plants.usda.gov/java/profile?symbol=PRNI" TargetMode="External"/><Relationship Id="rId833" Type="http://schemas.openxmlformats.org/officeDocument/2006/relationships/hyperlink" Target="http://www.plants.usda.gov/java/profile?symbol=COAMA2" TargetMode="External"/><Relationship Id="rId1116" Type="http://schemas.openxmlformats.org/officeDocument/2006/relationships/hyperlink" Target="http://www.plants.usda.gov/java/profile?symbol=HEDO" TargetMode="External"/><Relationship Id="rId1463" Type="http://schemas.openxmlformats.org/officeDocument/2006/relationships/hyperlink" Target="http://www.plants.usda.gov/java/profile?symbol=PAFA3" TargetMode="External"/><Relationship Id="rId1670" Type="http://schemas.openxmlformats.org/officeDocument/2006/relationships/hyperlink" Target="http://www.plants.usda.gov/java/profile?symbol=RASCM" TargetMode="External"/><Relationship Id="rId1768" Type="http://schemas.openxmlformats.org/officeDocument/2006/relationships/hyperlink" Target="http://www.plants.usda.gov/java/profile?symbol=SILAL2" TargetMode="External"/><Relationship Id="rId2514" Type="http://schemas.openxmlformats.org/officeDocument/2006/relationships/hyperlink" Target="http://www.plants.usda.gov/java/profile?symbol=CLOCO" TargetMode="External"/></Relationships>
</file>

<file path=xl/worksheets/sheet1.xml><?xml version="1.0" encoding="utf-8"?>
<worksheet xmlns="http://schemas.openxmlformats.org/spreadsheetml/2006/main" xmlns:r="http://schemas.openxmlformats.org/officeDocument/2006/relationships">
  <sheetPr codeName="Instructions">
    <tabColor rgb="FF92D050"/>
    <pageSetUpPr fitToPage="1"/>
  </sheetPr>
  <dimension ref="A1:I29"/>
  <sheetViews>
    <sheetView workbookViewId="0">
      <selection sqref="A1:I1"/>
    </sheetView>
  </sheetViews>
  <sheetFormatPr defaultRowHeight="12.75"/>
  <cols>
    <col min="1" max="8" width="9.140625" style="86"/>
    <col min="9" max="9" width="42.7109375" style="86" customWidth="1"/>
    <col min="10" max="16384" width="9.140625" style="86"/>
  </cols>
  <sheetData>
    <row r="1" spans="1:9" ht="18.75" thickBot="1">
      <c r="A1" s="741" t="s">
        <v>1216</v>
      </c>
      <c r="B1" s="741"/>
      <c r="C1" s="741"/>
      <c r="D1" s="741"/>
      <c r="E1" s="741"/>
      <c r="F1" s="741"/>
      <c r="G1" s="741"/>
      <c r="H1" s="741"/>
      <c r="I1" s="741"/>
    </row>
    <row r="2" spans="1:9">
      <c r="A2" s="202" t="s">
        <v>11339</v>
      </c>
      <c r="B2" s="203"/>
      <c r="C2" s="203"/>
      <c r="D2" s="203"/>
      <c r="E2" s="203"/>
      <c r="F2" s="203"/>
      <c r="G2" s="203"/>
      <c r="H2" s="203"/>
      <c r="I2" s="203"/>
    </row>
    <row r="3" spans="1:9">
      <c r="A3" s="203"/>
      <c r="B3" s="203"/>
      <c r="C3" s="203"/>
      <c r="D3" s="203"/>
      <c r="E3" s="203"/>
      <c r="F3" s="203"/>
      <c r="G3" s="203"/>
      <c r="H3" s="203"/>
      <c r="I3" s="203"/>
    </row>
    <row r="4" spans="1:9" ht="12.75" customHeight="1">
      <c r="A4" s="739" t="s">
        <v>1217</v>
      </c>
      <c r="B4" s="739"/>
      <c r="C4" s="739"/>
      <c r="D4" s="739"/>
      <c r="E4" s="739"/>
      <c r="F4" s="739"/>
      <c r="G4" s="739"/>
      <c r="H4" s="739"/>
      <c r="I4" s="739"/>
    </row>
    <row r="5" spans="1:9" ht="12.75" customHeight="1">
      <c r="A5" s="204"/>
      <c r="B5" s="204"/>
      <c r="C5" s="204"/>
      <c r="D5" s="204"/>
      <c r="E5" s="204"/>
      <c r="F5" s="204"/>
      <c r="G5" s="204"/>
      <c r="H5" s="204"/>
      <c r="I5" s="204"/>
    </row>
    <row r="6" spans="1:9" ht="15" customHeight="1">
      <c r="A6" s="205" t="s">
        <v>1218</v>
      </c>
      <c r="B6" s="739" t="s">
        <v>1320</v>
      </c>
      <c r="C6" s="739"/>
      <c r="D6" s="739"/>
      <c r="E6" s="739"/>
      <c r="F6" s="739"/>
      <c r="G6" s="739"/>
      <c r="H6" s="739"/>
      <c r="I6" s="739"/>
    </row>
    <row r="7" spans="1:9">
      <c r="A7" s="205"/>
      <c r="B7" s="204"/>
      <c r="C7" s="204"/>
      <c r="D7" s="204"/>
      <c r="E7" s="204"/>
      <c r="F7" s="204"/>
      <c r="G7" s="204"/>
      <c r="H7" s="204"/>
      <c r="I7" s="204"/>
    </row>
    <row r="8" spans="1:9" ht="29.25" customHeight="1">
      <c r="A8" s="206" t="s">
        <v>1219</v>
      </c>
      <c r="B8" s="742" t="s">
        <v>1319</v>
      </c>
      <c r="C8" s="742"/>
      <c r="D8" s="742"/>
      <c r="E8" s="742"/>
      <c r="F8" s="742"/>
      <c r="G8" s="742"/>
      <c r="H8" s="742"/>
      <c r="I8" s="742"/>
    </row>
    <row r="9" spans="1:9">
      <c r="A9" s="206"/>
      <c r="B9" s="207"/>
      <c r="C9" s="207"/>
      <c r="D9" s="207"/>
      <c r="E9" s="207"/>
      <c r="F9" s="207"/>
      <c r="G9" s="207"/>
      <c r="H9" s="207"/>
      <c r="I9" s="207"/>
    </row>
    <row r="10" spans="1:9" ht="27.75" customHeight="1">
      <c r="A10" s="205" t="s">
        <v>1220</v>
      </c>
      <c r="B10" s="742" t="s">
        <v>11297</v>
      </c>
      <c r="C10" s="742"/>
      <c r="D10" s="742"/>
      <c r="E10" s="742"/>
      <c r="F10" s="742"/>
      <c r="G10" s="742"/>
      <c r="H10" s="742"/>
      <c r="I10" s="742"/>
    </row>
    <row r="11" spans="1:9">
      <c r="A11" s="205"/>
      <c r="B11" s="207"/>
      <c r="C11" s="207"/>
      <c r="D11" s="207"/>
      <c r="E11" s="207"/>
      <c r="F11" s="207"/>
      <c r="G11" s="207"/>
      <c r="H11" s="207"/>
      <c r="I11" s="207"/>
    </row>
    <row r="12" spans="1:9" ht="59.25" customHeight="1">
      <c r="A12" s="206" t="s">
        <v>1221</v>
      </c>
      <c r="B12" s="742" t="s">
        <v>11323</v>
      </c>
      <c r="C12" s="742"/>
      <c r="D12" s="742"/>
      <c r="E12" s="742"/>
      <c r="F12" s="742"/>
      <c r="G12" s="742"/>
      <c r="H12" s="742"/>
      <c r="I12" s="742"/>
    </row>
    <row r="13" spans="1:9">
      <c r="A13" s="203"/>
      <c r="B13" s="207"/>
      <c r="C13" s="207"/>
      <c r="D13" s="207"/>
      <c r="E13" s="207"/>
      <c r="F13" s="207"/>
      <c r="G13" s="207"/>
      <c r="H13" s="207"/>
      <c r="I13" s="207"/>
    </row>
    <row r="14" spans="1:9" ht="26.25" customHeight="1">
      <c r="A14" s="739" t="s">
        <v>1222</v>
      </c>
      <c r="B14" s="739"/>
      <c r="C14" s="739"/>
      <c r="D14" s="739"/>
      <c r="E14" s="739"/>
      <c r="F14" s="739"/>
      <c r="G14" s="739"/>
      <c r="H14" s="739"/>
      <c r="I14" s="739"/>
    </row>
    <row r="15" spans="1:9">
      <c r="A15" s="204"/>
      <c r="B15" s="204"/>
      <c r="C15" s="204"/>
      <c r="D15" s="204"/>
      <c r="E15" s="204"/>
      <c r="F15" s="204"/>
      <c r="G15" s="204"/>
      <c r="H15" s="204"/>
      <c r="I15" s="204"/>
    </row>
    <row r="16" spans="1:9" ht="52.5" customHeight="1">
      <c r="A16" s="739" t="s">
        <v>1288</v>
      </c>
      <c r="B16" s="739"/>
      <c r="C16" s="739"/>
      <c r="D16" s="739"/>
      <c r="E16" s="739"/>
      <c r="F16" s="739"/>
      <c r="G16" s="739"/>
      <c r="H16" s="739"/>
      <c r="I16" s="739"/>
    </row>
    <row r="17" spans="1:9">
      <c r="A17" s="203"/>
      <c r="B17" s="203"/>
      <c r="C17" s="203"/>
      <c r="D17" s="203"/>
      <c r="E17" s="203"/>
      <c r="F17" s="203"/>
      <c r="G17" s="203"/>
      <c r="H17" s="203"/>
      <c r="I17" s="203"/>
    </row>
    <row r="18" spans="1:9" ht="41.25" customHeight="1">
      <c r="A18" s="739" t="s">
        <v>1289</v>
      </c>
      <c r="B18" s="739"/>
      <c r="C18" s="739"/>
      <c r="D18" s="739"/>
      <c r="E18" s="739"/>
      <c r="F18" s="739"/>
      <c r="G18" s="739"/>
      <c r="H18" s="739"/>
      <c r="I18" s="739"/>
    </row>
    <row r="19" spans="1:9">
      <c r="A19" s="203"/>
      <c r="B19" s="203"/>
      <c r="C19" s="203"/>
      <c r="D19" s="203"/>
      <c r="E19" s="203"/>
      <c r="F19" s="203"/>
      <c r="G19" s="203"/>
      <c r="H19" s="203"/>
      <c r="I19" s="203"/>
    </row>
    <row r="20" spans="1:9" ht="63.75" customHeight="1">
      <c r="A20" s="739" t="s">
        <v>11324</v>
      </c>
      <c r="B20" s="739"/>
      <c r="C20" s="739"/>
      <c r="D20" s="739"/>
      <c r="E20" s="739"/>
      <c r="F20" s="739"/>
      <c r="G20" s="739"/>
      <c r="H20" s="739"/>
      <c r="I20" s="739"/>
    </row>
    <row r="21" spans="1:9" ht="47.25" customHeight="1">
      <c r="A21" s="739" t="s">
        <v>11325</v>
      </c>
      <c r="B21" s="739"/>
      <c r="C21" s="739"/>
      <c r="D21" s="739"/>
      <c r="E21" s="739"/>
      <c r="F21" s="739"/>
      <c r="G21" s="739"/>
      <c r="H21" s="739"/>
      <c r="I21" s="739"/>
    </row>
    <row r="23" spans="1:9">
      <c r="A23" s="111" t="s">
        <v>1225</v>
      </c>
    </row>
    <row r="24" spans="1:9" ht="14.25">
      <c r="A24" s="208">
        <v>1</v>
      </c>
      <c r="B24" s="743" t="s">
        <v>1223</v>
      </c>
      <c r="C24" s="743"/>
      <c r="D24" s="743"/>
      <c r="E24" s="743"/>
      <c r="F24" s="743"/>
      <c r="G24" s="743"/>
      <c r="H24" s="743"/>
      <c r="I24" s="743"/>
    </row>
    <row r="25" spans="1:9" ht="14.25">
      <c r="A25" s="208">
        <v>2</v>
      </c>
      <c r="B25" s="743" t="s">
        <v>1224</v>
      </c>
      <c r="C25" s="743"/>
      <c r="D25" s="743"/>
      <c r="E25" s="743"/>
      <c r="F25" s="743"/>
      <c r="G25" s="743"/>
      <c r="H25" s="743"/>
      <c r="I25" s="743"/>
    </row>
    <row r="26" spans="1:9" ht="14.25">
      <c r="A26" s="208">
        <v>3</v>
      </c>
      <c r="B26" s="111" t="s">
        <v>1226</v>
      </c>
    </row>
    <row r="27" spans="1:9" ht="14.25">
      <c r="A27" s="208">
        <v>4</v>
      </c>
      <c r="B27" s="111" t="s">
        <v>1227</v>
      </c>
    </row>
    <row r="28" spans="1:9" ht="14.25">
      <c r="A28" s="208">
        <v>5</v>
      </c>
      <c r="B28" s="429" t="s">
        <v>1322</v>
      </c>
      <c r="C28" s="430"/>
      <c r="D28" s="430"/>
      <c r="E28" s="430"/>
      <c r="F28" s="430"/>
      <c r="G28" s="430"/>
      <c r="H28" s="430"/>
      <c r="I28" s="430"/>
    </row>
    <row r="29" spans="1:9" ht="229.5" customHeight="1">
      <c r="A29" s="208">
        <v>6</v>
      </c>
      <c r="B29" s="740" t="s">
        <v>1321</v>
      </c>
      <c r="C29" s="740"/>
      <c r="D29" s="740"/>
      <c r="E29" s="740"/>
      <c r="F29" s="740"/>
      <c r="G29" s="740"/>
      <c r="H29" s="740"/>
      <c r="I29" s="431"/>
    </row>
  </sheetData>
  <sheetProtection password="9A0B" sheet="1" objects="1" scenarios="1"/>
  <mergeCells count="14">
    <mergeCell ref="B12:I12"/>
    <mergeCell ref="A14:I14"/>
    <mergeCell ref="A1:I1"/>
    <mergeCell ref="A4:I4"/>
    <mergeCell ref="B6:I6"/>
    <mergeCell ref="B8:I8"/>
    <mergeCell ref="B10:I10"/>
    <mergeCell ref="A16:I16"/>
    <mergeCell ref="A18:I18"/>
    <mergeCell ref="A20:I20"/>
    <mergeCell ref="A21:I21"/>
    <mergeCell ref="B29:H29"/>
    <mergeCell ref="B24:I24"/>
    <mergeCell ref="B25:I25"/>
  </mergeCells>
  <phoneticPr fontId="27" type="noConversion"/>
  <pageMargins left="0.75" right="0.75" top="1" bottom="1" header="0.5" footer="0.5"/>
  <pageSetup scale="78"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Sheet2">
    <tabColor theme="5" tint="-0.249977111117893"/>
    <pageSetUpPr fitToPage="1"/>
  </sheetPr>
  <dimension ref="B1:J35"/>
  <sheetViews>
    <sheetView workbookViewId="0">
      <selection activeCell="B2" sqref="B2:E2"/>
    </sheetView>
  </sheetViews>
  <sheetFormatPr defaultRowHeight="12.75"/>
  <cols>
    <col min="1" max="1" width="9.140625" style="436"/>
    <col min="2" max="2" width="39.5703125" style="436" bestFit="1" customWidth="1"/>
    <col min="3" max="3" width="8.5703125" style="436" bestFit="1" customWidth="1"/>
    <col min="4" max="4" width="7" style="436" bestFit="1" customWidth="1"/>
    <col min="5" max="5" width="20.140625" style="436" bestFit="1" customWidth="1"/>
    <col min="6" max="6" width="6.140625" style="436" customWidth="1"/>
    <col min="7" max="7" width="39.5703125" style="436" bestFit="1" customWidth="1"/>
    <col min="8" max="8" width="8.5703125" style="436" bestFit="1" customWidth="1"/>
    <col min="9" max="9" width="7" style="436" bestFit="1" customWidth="1"/>
    <col min="10" max="10" width="20.140625" style="436" bestFit="1" customWidth="1"/>
    <col min="11" max="16384" width="9.140625" style="436"/>
  </cols>
  <sheetData>
    <row r="1" spans="2:10" s="457" customFormat="1" ht="23.25" customHeight="1">
      <c r="H1" s="733" t="b">
        <v>0</v>
      </c>
      <c r="I1" s="733" t="b">
        <v>0</v>
      </c>
    </row>
    <row r="2" spans="2:10" ht="47.25" customHeight="1">
      <c r="B2" s="824" t="s">
        <v>11311</v>
      </c>
      <c r="C2" s="824"/>
      <c r="D2" s="824"/>
      <c r="E2" s="824"/>
      <c r="G2" s="824" t="s">
        <v>11317</v>
      </c>
      <c r="H2" s="824"/>
      <c r="I2" s="824"/>
      <c r="J2" s="824"/>
    </row>
    <row r="3" spans="2:10" ht="16.5" customHeight="1">
      <c r="B3" s="820" t="s">
        <v>11129</v>
      </c>
      <c r="C3" s="820" t="s">
        <v>11128</v>
      </c>
      <c r="D3" s="820" t="s">
        <v>11127</v>
      </c>
      <c r="E3" s="820" t="s">
        <v>11126</v>
      </c>
      <c r="G3" s="826" t="s">
        <v>11129</v>
      </c>
      <c r="H3" s="826" t="s">
        <v>11128</v>
      </c>
      <c r="I3" s="826" t="s">
        <v>11127</v>
      </c>
      <c r="J3" s="826" t="s">
        <v>11126</v>
      </c>
    </row>
    <row r="4" spans="2:10">
      <c r="B4" s="820"/>
      <c r="C4" s="820"/>
      <c r="D4" s="820"/>
      <c r="E4" s="820"/>
      <c r="G4" s="827"/>
      <c r="H4" s="827"/>
      <c r="I4" s="827"/>
      <c r="J4" s="827"/>
    </row>
    <row r="5" spans="2:10" ht="13.5" thickBot="1">
      <c r="B5" s="825" t="s">
        <v>11125</v>
      </c>
      <c r="C5" s="825"/>
      <c r="D5" s="825"/>
      <c r="E5" s="825"/>
      <c r="G5" s="821" t="s">
        <v>11125</v>
      </c>
      <c r="H5" s="822"/>
      <c r="I5" s="822"/>
      <c r="J5" s="823"/>
    </row>
    <row r="6" spans="2:10" ht="13.5" thickTop="1">
      <c r="B6" s="464" t="s">
        <v>11146</v>
      </c>
      <c r="C6" s="677">
        <v>3</v>
      </c>
      <c r="D6" s="677">
        <f>COUNTIF(Calculator!C:C,"*spring*")+COUNTIF(Calculator!C151:C160,"*spring*")</f>
        <v>4</v>
      </c>
      <c r="E6" s="732" t="str">
        <f t="shared" ref="E6:E11" si="0">IF(D6&gt;=C6,"Meets Criteria","Does Not Meet Criteria")</f>
        <v>Meets Criteria</v>
      </c>
      <c r="G6" s="464" t="s">
        <v>11146</v>
      </c>
      <c r="H6" s="677">
        <v>3</v>
      </c>
      <c r="I6" s="677">
        <f>COUNTIF(Calculator!C:C,"*spring*")+COUNTIF(Calculator!C151:C160,"*spring*")</f>
        <v>4</v>
      </c>
      <c r="J6" s="463" t="str">
        <f>IF(I6&gt;=H6,"Meets Criteria","Does Not Meet Criteria")</f>
        <v>Meets Criteria</v>
      </c>
    </row>
    <row r="7" spans="2:10">
      <c r="B7" s="460" t="s">
        <v>11147</v>
      </c>
      <c r="C7" s="676">
        <v>3</v>
      </c>
      <c r="D7" s="676">
        <f>COUNTIF(Calculator!C63:C142,"*summer*")+COUNTIF(Calculator!C151:C160,"*summer*")</f>
        <v>30</v>
      </c>
      <c r="E7" s="731" t="str">
        <f t="shared" si="0"/>
        <v>Meets Criteria</v>
      </c>
      <c r="G7" s="460" t="s">
        <v>11147</v>
      </c>
      <c r="H7" s="676">
        <v>3</v>
      </c>
      <c r="I7" s="676">
        <f>COUNTIF(Calculator!C:C,"*summer*")+COUNTIF(Calculator!C151:C160,"*spring*")</f>
        <v>30</v>
      </c>
      <c r="J7" s="459" t="str">
        <f>IF(I7&gt;=H7,"Meets Criteria","Does Not Meet Criteria")</f>
        <v>Meets Criteria</v>
      </c>
    </row>
    <row r="8" spans="2:10">
      <c r="B8" s="460" t="s">
        <v>11148</v>
      </c>
      <c r="C8" s="676">
        <v>3</v>
      </c>
      <c r="D8" s="676">
        <f>COUNTIF(Calculator!C63:C142,"*Fall*")+COUNTIF(Calculator!C151:C160,"*fall*")</f>
        <v>14</v>
      </c>
      <c r="E8" s="731" t="str">
        <f t="shared" si="0"/>
        <v>Meets Criteria</v>
      </c>
      <c r="F8" s="432"/>
      <c r="G8" s="460" t="s">
        <v>11148</v>
      </c>
      <c r="H8" s="676">
        <v>3</v>
      </c>
      <c r="I8" s="676">
        <f>COUNTIF(Calculator!C:C,"*Fall*")+COUNTIF(Calculator!C151:C160,"*spring*")</f>
        <v>14</v>
      </c>
      <c r="J8" s="459" t="str">
        <f>IF(I8&gt;=H8,"Meets Criteria","Does Not Meet Criteria")</f>
        <v>Meets Criteria</v>
      </c>
    </row>
    <row r="9" spans="2:10">
      <c r="B9" s="460" t="s">
        <v>11124</v>
      </c>
      <c r="C9" s="676">
        <v>1</v>
      </c>
      <c r="D9" s="676">
        <f>(COUNTIF(Calculator!M63:M142,"*legume*")+COUNTIF(Calculator!M151:M160,"*legume*"))/2</f>
        <v>1</v>
      </c>
      <c r="E9" s="731" t="str">
        <f t="shared" si="0"/>
        <v>Meets Criteria</v>
      </c>
      <c r="G9" s="828" t="s">
        <v>11332</v>
      </c>
      <c r="H9" s="828"/>
      <c r="I9" s="828"/>
      <c r="J9" s="828"/>
    </row>
    <row r="10" spans="2:10">
      <c r="B10" s="460" t="s">
        <v>11123</v>
      </c>
      <c r="C10" s="676">
        <v>1</v>
      </c>
      <c r="D10" s="676">
        <f>COUNTIF(Calculator!C15:C54,"*bunch*")</f>
        <v>8</v>
      </c>
      <c r="E10" s="731" t="str">
        <f t="shared" si="0"/>
        <v>Meets Criteria</v>
      </c>
      <c r="G10" s="828"/>
      <c r="H10" s="828"/>
      <c r="I10" s="828"/>
      <c r="J10" s="828"/>
    </row>
    <row r="11" spans="2:10" ht="14.25" customHeight="1" thickBot="1">
      <c r="B11" s="460" t="s">
        <v>11308</v>
      </c>
      <c r="C11" s="461">
        <v>20</v>
      </c>
      <c r="D11" s="722">
        <f>Calculator!F145+SUMIF(Calculator!M151:M160,"*sub-shrub*",Calculator!F151:F160)+SUMIF(Calculator!M151:M160,"*vine*",Calculator!F151:F160)</f>
        <v>20.000000000000004</v>
      </c>
      <c r="E11" s="731" t="str">
        <f t="shared" si="0"/>
        <v>Meets Criteria</v>
      </c>
      <c r="G11" s="825" t="s">
        <v>11315</v>
      </c>
      <c r="H11" s="825"/>
      <c r="I11" s="825"/>
      <c r="J11" s="825"/>
    </row>
    <row r="12" spans="2:10" ht="15" thickTop="1">
      <c r="B12" s="670" t="s">
        <v>11313</v>
      </c>
      <c r="C12" s="714">
        <v>0.2</v>
      </c>
      <c r="D12" s="467">
        <f>(SUMIF(Calculator!M63:M142,"*annual*",Calculator!F63:F142)+SUMIF(Calculator!M63:M142,"*Biennial*",Calculator!F63:F142))/Calculator!F145</f>
        <v>0.16080402010050249</v>
      </c>
      <c r="E12" s="731" t="str">
        <f>IF(D12&gt;C12,"Does Not Meet Criteria","Meets Criteria")</f>
        <v>Meets Criteria</v>
      </c>
      <c r="G12" s="460" t="s">
        <v>11322</v>
      </c>
      <c r="H12" s="461">
        <v>40</v>
      </c>
      <c r="I12" s="722">
        <f>Calculator!F145+Calculator!F162</f>
        <v>20.000000000000004</v>
      </c>
      <c r="J12" s="459" t="str">
        <f>IF(I12&gt;=H12,"Meets Criteria","Does Not Meet Criteria")</f>
        <v>Does Not Meet Criteria</v>
      </c>
    </row>
    <row r="13" spans="2:10" ht="15" thickBot="1">
      <c r="B13" s="483" t="s">
        <v>11312</v>
      </c>
      <c r="C13" s="467">
        <v>0.2</v>
      </c>
      <c r="D13" s="467">
        <f>Calculator!F57/Calculator!F165</f>
        <v>0.5</v>
      </c>
      <c r="E13" s="731" t="str">
        <f>IF(D13&lt;C13,"Does Not Meet Criteria","Meets Criteria")</f>
        <v>Meets Criteria</v>
      </c>
      <c r="G13" s="821" t="s">
        <v>11314</v>
      </c>
      <c r="H13" s="822"/>
      <c r="I13" s="822"/>
      <c r="J13" s="823"/>
    </row>
    <row r="14" spans="2:10" ht="13.5" thickTop="1">
      <c r="B14" s="829" t="s">
        <v>11332</v>
      </c>
      <c r="C14" s="829"/>
      <c r="D14" s="829"/>
      <c r="E14" s="829"/>
      <c r="G14" s="724" t="s">
        <v>11316</v>
      </c>
      <c r="H14" s="725"/>
      <c r="I14" s="725"/>
      <c r="J14" s="726"/>
    </row>
    <row r="15" spans="2:10" ht="14.25">
      <c r="B15" s="829"/>
      <c r="C15" s="829"/>
      <c r="D15" s="829"/>
      <c r="E15" s="829"/>
      <c r="G15" s="460" t="s">
        <v>11309</v>
      </c>
      <c r="H15" s="461">
        <v>10</v>
      </c>
      <c r="I15" s="722">
        <f>Calculator!F57</f>
        <v>20</v>
      </c>
      <c r="J15" s="459" t="str">
        <f>IF(I15&lt;=H15,"Meets Criteria","Does Not Meet Criteria")</f>
        <v>Does Not Meet Criteria</v>
      </c>
    </row>
    <row r="16" spans="2:10" ht="14.25">
      <c r="B16" s="830" t="s">
        <v>11327</v>
      </c>
      <c r="C16" s="830"/>
      <c r="D16" s="830"/>
      <c r="E16" s="830"/>
      <c r="G16" s="460" t="s">
        <v>11322</v>
      </c>
      <c r="H16" s="461">
        <v>30</v>
      </c>
      <c r="I16" s="722">
        <f>Calculator!F162+Calculator!F145</f>
        <v>20.000000000000004</v>
      </c>
      <c r="J16" s="459" t="str">
        <f>IF(I16&gt;=H16,"Meets Criteria","Does Not Meet Criteria")</f>
        <v>Does Not Meet Criteria</v>
      </c>
    </row>
    <row r="17" spans="2:10" ht="15" thickBot="1">
      <c r="B17" s="831"/>
      <c r="C17" s="831"/>
      <c r="D17" s="831"/>
      <c r="E17" s="831"/>
      <c r="G17" s="460" t="s">
        <v>11310</v>
      </c>
      <c r="H17" s="461">
        <v>40</v>
      </c>
      <c r="I17" s="722">
        <f>Calculator!F165</f>
        <v>40</v>
      </c>
      <c r="J17" s="459" t="str">
        <f>IF(I17&gt;=H17,"Meets Criteria","Does Not Meet Criteria")</f>
        <v>Meets Criteria</v>
      </c>
    </row>
    <row r="18" spans="2:10" ht="15" thickTop="1">
      <c r="B18" s="464" t="s">
        <v>11133</v>
      </c>
      <c r="C18" s="465">
        <v>20</v>
      </c>
      <c r="D18" s="723">
        <f>Calculator!F57</f>
        <v>20</v>
      </c>
      <c r="E18" s="463" t="str">
        <f>IF(D18&lt;C18,"Does Not Meet Criteria","Meets Criteria")</f>
        <v>Meets Criteria</v>
      </c>
    </row>
    <row r="19" spans="2:10" ht="14.25">
      <c r="B19" s="460" t="s">
        <v>11149</v>
      </c>
      <c r="C19" s="461">
        <v>20</v>
      </c>
      <c r="D19" s="722">
        <f>Calculator!F145+SUMIF(Calculator!M151:M160,"*sub-shrub*",Calculator!F151:F160)+SUMIF(Calculator!M151:M160,"*vine*",Calculator!F151:F160)</f>
        <v>20.000000000000004</v>
      </c>
      <c r="E19" s="459" t="str">
        <f>IF(D19&lt;C19,"Does Not Meet Criteria","Meets Criteria")</f>
        <v>Meets Criteria</v>
      </c>
    </row>
    <row r="20" spans="2:10" ht="14.25">
      <c r="B20" s="460" t="s">
        <v>11130</v>
      </c>
      <c r="C20" s="727">
        <v>40</v>
      </c>
      <c r="D20" s="722">
        <f>Calculator!F165</f>
        <v>40</v>
      </c>
      <c r="E20" s="459" t="str">
        <f>IF(D20&gt;=C20,"Meets Criteria","Does Not Meet Criteria")</f>
        <v>Meets Criteria</v>
      </c>
    </row>
    <row r="21" spans="2:10" ht="14.25" customHeight="1" thickBot="1">
      <c r="B21" s="831" t="s">
        <v>11326</v>
      </c>
      <c r="C21" s="831"/>
      <c r="D21" s="831"/>
      <c r="E21" s="831"/>
    </row>
    <row r="22" spans="2:10" ht="15" thickTop="1">
      <c r="B22" s="464" t="s">
        <v>11133</v>
      </c>
      <c r="C22" s="465">
        <v>30</v>
      </c>
      <c r="D22" s="723">
        <f>Calculator!F57</f>
        <v>20</v>
      </c>
      <c r="E22" s="463" t="str">
        <f>IF(D22&lt;C22,"Does Not Meet Criteria","Meets Criteria")</f>
        <v>Does Not Meet Criteria</v>
      </c>
    </row>
    <row r="23" spans="2:10" ht="15.75" customHeight="1">
      <c r="B23" s="460" t="s">
        <v>11149</v>
      </c>
      <c r="C23" s="461">
        <v>10</v>
      </c>
      <c r="D23" s="722">
        <f>Calculator!F145+SUMIF(Calculator!M151:M160,"*sub-shrub*",Calculator!F151:F160)+SUMIF(Calculator!M151:M160,"*vine*",Calculator!F151:F160)</f>
        <v>20.000000000000004</v>
      </c>
      <c r="E23" s="459" t="str">
        <f>IF(D23&lt;C23,"Does Not Meet Criteria","Meets Criteria")</f>
        <v>Meets Criteria</v>
      </c>
    </row>
    <row r="24" spans="2:10" ht="14.25">
      <c r="B24" s="460" t="s">
        <v>11130</v>
      </c>
      <c r="C24" s="727">
        <v>40</v>
      </c>
      <c r="D24" s="722">
        <f>Calculator!F165</f>
        <v>40</v>
      </c>
      <c r="E24" s="459" t="str">
        <f>IF(D24&gt;=C24,"Meets Criteria","Does Not Meet Criteria")</f>
        <v>Meets Criteria</v>
      </c>
    </row>
    <row r="25" spans="2:10" ht="14.25" customHeight="1" thickBot="1">
      <c r="B25" s="832" t="s">
        <v>11335</v>
      </c>
      <c r="C25" s="833"/>
      <c r="D25" s="833"/>
      <c r="E25" s="834"/>
    </row>
    <row r="26" spans="2:10" ht="15" thickTop="1">
      <c r="B26" s="464" t="s">
        <v>11133</v>
      </c>
      <c r="C26" s="465">
        <f>C18*1.5</f>
        <v>30</v>
      </c>
      <c r="D26" s="723">
        <f>Calculator!F57</f>
        <v>20</v>
      </c>
      <c r="E26" s="463" t="str">
        <f>IF(D26&lt;C26,"Does Not Meet Criteria","Meets Criteria")</f>
        <v>Does Not Meet Criteria</v>
      </c>
    </row>
    <row r="27" spans="2:10" ht="14.25">
      <c r="B27" s="460" t="s">
        <v>11149</v>
      </c>
      <c r="C27" s="461">
        <f>C19*1.5</f>
        <v>30</v>
      </c>
      <c r="D27" s="722">
        <f>Calculator!F145+SUMIF(Calculator!M151:M160,"*sub-shrub*",Calculator!F151:F160)+SUMIF(Calculator!M151:M160,"*vine*",Calculator!F151:F160)</f>
        <v>20.000000000000004</v>
      </c>
      <c r="E27" s="459" t="str">
        <f>IF(D27&lt;C27,"Does Not Meet Criteria","Meets Criteria")</f>
        <v>Does Not Meet Criteria</v>
      </c>
    </row>
    <row r="28" spans="2:10" ht="14.25">
      <c r="B28" s="460" t="s">
        <v>11130</v>
      </c>
      <c r="C28" s="727">
        <f>C20*1.5</f>
        <v>60</v>
      </c>
      <c r="D28" s="722">
        <f>Calculator!F165</f>
        <v>40</v>
      </c>
      <c r="E28" s="459" t="str">
        <f>IF(D28&gt;=C28,"Meets Criteria","Does Not Meet Criteria")</f>
        <v>Does Not Meet Criteria</v>
      </c>
    </row>
    <row r="29" spans="2:10" ht="13.5" thickBot="1">
      <c r="B29" s="832" t="s">
        <v>11336</v>
      </c>
      <c r="C29" s="833"/>
      <c r="D29" s="833"/>
      <c r="E29" s="834"/>
    </row>
    <row r="30" spans="2:10" ht="12.75" customHeight="1" thickTop="1">
      <c r="B30" s="464" t="s">
        <v>11133</v>
      </c>
      <c r="C30" s="465">
        <f>C22*1.5</f>
        <v>45</v>
      </c>
      <c r="D30" s="723">
        <f>Calculator!F57</f>
        <v>20</v>
      </c>
      <c r="E30" s="463" t="str">
        <f>IF(D30&lt;C30,"Does Not Meet Criteria","Meets Criteria")</f>
        <v>Does Not Meet Criteria</v>
      </c>
    </row>
    <row r="31" spans="2:10" ht="14.25">
      <c r="B31" s="460" t="s">
        <v>11149</v>
      </c>
      <c r="C31" s="461">
        <f>C23*1.5</f>
        <v>15</v>
      </c>
      <c r="D31" s="722">
        <f>Calculator!F145+SUMIF(Calculator!M151:M160,"*sub-shrub*",Calculator!F151:F160)+SUMIF(Calculator!M151:M160,"*vine*",Calculator!F151:F160)</f>
        <v>20.000000000000004</v>
      </c>
      <c r="E31" s="459" t="str">
        <f>IF(D31&lt;C31,"Does Not Meet Criteria","Meets Criteria")</f>
        <v>Meets Criteria</v>
      </c>
    </row>
    <row r="32" spans="2:10" ht="14.25">
      <c r="B32" s="460" t="s">
        <v>11130</v>
      </c>
      <c r="C32" s="727">
        <f>C24*1.5</f>
        <v>60</v>
      </c>
      <c r="D32" s="722">
        <f>Calculator!F165</f>
        <v>40</v>
      </c>
      <c r="E32" s="459" t="str">
        <f>IF(D32&gt;=C32,"Meets Criteria","Does Not Meet Criteria")</f>
        <v>Does Not Meet Criteria</v>
      </c>
    </row>
    <row r="33" spans="2:5" ht="13.5" thickBot="1">
      <c r="B33" s="821" t="s">
        <v>11328</v>
      </c>
      <c r="C33" s="822"/>
      <c r="D33" s="822"/>
      <c r="E33" s="823"/>
    </row>
    <row r="34" spans="2:5" ht="15" thickTop="1">
      <c r="B34" s="464" t="s">
        <v>11333</v>
      </c>
      <c r="C34" s="728">
        <v>4</v>
      </c>
      <c r="D34" s="728">
        <f>SUMIF(Calculator!B15:B54,"Switchgrass",Calculator!F15:F54)</f>
        <v>1.5</v>
      </c>
      <c r="E34" s="463" t="str">
        <f>IF(D34&gt;C34,"Does Not Meet Criteria","Meets Criteria")</f>
        <v>Meets Criteria</v>
      </c>
    </row>
    <row r="35" spans="2:5" ht="14.25">
      <c r="B35" s="460" t="s">
        <v>11334</v>
      </c>
      <c r="C35" s="727">
        <v>8</v>
      </c>
      <c r="D35" s="727">
        <f>SUMIF(Calculator!B15:B54,"Canada Wildrye",Calculator!F15:F54)</f>
        <v>1.7</v>
      </c>
      <c r="E35" s="459" t="str">
        <f>IF(D35&gt;C35,"Does Not Meet Criteria","Meets Criteria")</f>
        <v>Meets Criteria</v>
      </c>
    </row>
  </sheetData>
  <sheetProtection password="9A0B" sheet="1" objects="1" scenarios="1"/>
  <mergeCells count="21">
    <mergeCell ref="B33:E33"/>
    <mergeCell ref="G9:J10"/>
    <mergeCell ref="B14:E15"/>
    <mergeCell ref="G13:J13"/>
    <mergeCell ref="G11:J11"/>
    <mergeCell ref="B16:E17"/>
    <mergeCell ref="B21:E21"/>
    <mergeCell ref="B29:E29"/>
    <mergeCell ref="B25:E25"/>
    <mergeCell ref="E3:E4"/>
    <mergeCell ref="G5:J5"/>
    <mergeCell ref="B2:E2"/>
    <mergeCell ref="G2:J2"/>
    <mergeCell ref="B5:E5"/>
    <mergeCell ref="G3:G4"/>
    <mergeCell ref="H3:H4"/>
    <mergeCell ref="I3:I4"/>
    <mergeCell ref="J3:J4"/>
    <mergeCell ref="B3:B4"/>
    <mergeCell ref="C3:C4"/>
    <mergeCell ref="D3:D4"/>
  </mergeCells>
  <conditionalFormatting sqref="J15:J17 J11:J12 E34:E35 E30:E32 E26:E28 E18:E20 J5:J8 J3 E3 E6:E13 E22:E24">
    <cfRule type="containsText" dxfId="13" priority="51" operator="containsText" text="Does Not Meet Criteria">
      <formula>NOT(ISERROR(SEARCH("Does Not Meet Criteria",E3)))</formula>
    </cfRule>
    <cfRule type="containsText" dxfId="12" priority="52" operator="containsText" text="Meets Criteria">
      <formula>NOT(ISERROR(SEARCH("Meets Criteria",E3)))</formula>
    </cfRule>
  </conditionalFormatting>
  <conditionalFormatting sqref="B2:E35">
    <cfRule type="expression" dxfId="11" priority="27">
      <formula>IF($H$1=TRUE,TRUE,FALSE)</formula>
    </cfRule>
  </conditionalFormatting>
  <conditionalFormatting sqref="G2:J17">
    <cfRule type="expression" dxfId="10" priority="28">
      <formula>IF($I$1=TRUE,TRUE,FALSE)</formula>
    </cfRule>
  </conditionalFormatting>
  <pageMargins left="0.7" right="0.7" top="0.75" bottom="0.75" header="0.3" footer="0.3"/>
  <pageSetup scale="79" orientation="landscape" r:id="rId1"/>
  <headerFooter>
    <oddFooter>&amp;L&amp;"Arial,Bold"&amp;K06-048Iowa Natural Resources Conservation Service&amp;C&amp;"Arial,Bold"&amp;K06-048Native Seed Mix Calculator
Pollinator Habitat Check Sheet&amp;R&amp;"Arial,Bold"&amp;K06-048Mix Developed &amp;D</oddFooter>
  </headerFooter>
  <legacyDrawing r:id="rId2"/>
</worksheet>
</file>

<file path=xl/worksheets/sheet11.xml><?xml version="1.0" encoding="utf-8"?>
<worksheet xmlns="http://schemas.openxmlformats.org/spreadsheetml/2006/main" xmlns:r="http://schemas.openxmlformats.org/officeDocument/2006/relationships">
  <sheetPr codeName="Sheet3">
    <tabColor theme="5" tint="-0.249977111117893"/>
    <pageSetUpPr fitToPage="1"/>
  </sheetPr>
  <dimension ref="B1:K28"/>
  <sheetViews>
    <sheetView workbookViewId="0">
      <selection activeCell="G8" sqref="G8"/>
    </sheetView>
  </sheetViews>
  <sheetFormatPr defaultRowHeight="12.75"/>
  <cols>
    <col min="1" max="1" width="9.140625" style="436"/>
    <col min="2" max="2" width="35.140625" style="436" bestFit="1" customWidth="1"/>
    <col min="3" max="3" width="7.7109375" style="436" bestFit="1" customWidth="1"/>
    <col min="4" max="4" width="8.5703125" style="436" bestFit="1" customWidth="1"/>
    <col min="5" max="5" width="20.140625" style="436" bestFit="1" customWidth="1"/>
    <col min="6" max="16384" width="9.140625" style="436"/>
  </cols>
  <sheetData>
    <row r="1" spans="2:11">
      <c r="B1" s="835" t="s">
        <v>11137</v>
      </c>
      <c r="C1" s="835"/>
      <c r="D1" s="835"/>
      <c r="E1" s="836"/>
      <c r="F1" s="432"/>
      <c r="G1" s="432"/>
      <c r="H1" s="432"/>
      <c r="I1" s="432"/>
      <c r="J1" s="432"/>
      <c r="K1" s="432"/>
    </row>
    <row r="2" spans="2:11" ht="20.25" customHeight="1">
      <c r="B2" s="837"/>
      <c r="C2" s="837"/>
      <c r="D2" s="837"/>
      <c r="E2" s="838"/>
      <c r="F2" s="432"/>
      <c r="G2" s="432"/>
      <c r="H2" s="432"/>
      <c r="I2" s="432"/>
      <c r="J2" s="432"/>
      <c r="K2" s="432"/>
    </row>
    <row r="3" spans="2:11">
      <c r="B3" s="470" t="s">
        <v>11129</v>
      </c>
      <c r="C3" s="468" t="s">
        <v>11128</v>
      </c>
      <c r="D3" s="468" t="s">
        <v>11127</v>
      </c>
      <c r="E3" s="469" t="s">
        <v>11126</v>
      </c>
      <c r="F3" s="432"/>
      <c r="G3" s="432"/>
      <c r="H3" s="432"/>
      <c r="I3" s="432"/>
      <c r="J3" s="432"/>
      <c r="K3" s="432"/>
    </row>
    <row r="4" spans="2:11" ht="15">
      <c r="B4" s="839"/>
      <c r="C4" s="839"/>
      <c r="D4" s="839"/>
      <c r="E4" s="839"/>
      <c r="F4" s="432"/>
      <c r="G4" s="432"/>
      <c r="H4" s="432"/>
      <c r="I4" s="432"/>
      <c r="J4" s="432"/>
      <c r="K4" s="432"/>
    </row>
    <row r="5" spans="2:11" ht="13.5" thickBot="1">
      <c r="B5" s="825" t="s">
        <v>11135</v>
      </c>
      <c r="C5" s="825"/>
      <c r="D5" s="825"/>
      <c r="E5" s="825"/>
      <c r="F5" s="432"/>
      <c r="G5" s="433"/>
      <c r="H5" s="432"/>
      <c r="I5" s="432"/>
      <c r="J5" s="432"/>
      <c r="K5" s="432"/>
    </row>
    <row r="6" spans="2:11" s="458" customFormat="1" ht="13.5" thickTop="1">
      <c r="B6" s="472" t="s">
        <v>11136</v>
      </c>
      <c r="C6" s="462">
        <v>0.2</v>
      </c>
      <c r="D6" s="466">
        <f>(SUMIF(Calculator!M63:M142,"*annual*",Calculator!F63:F142)+SUMIF(Calculator!M63:M142,"*biennial*",Calculator!F63:F142))/Calculator!F145</f>
        <v>0.16080402010050249</v>
      </c>
      <c r="E6" s="463" t="str">
        <f>IF(D6&gt;C6,"Does Not Meet Criteria","Meets Criteria")</f>
        <v>Meets Criteria</v>
      </c>
      <c r="F6" s="433"/>
      <c r="G6" s="433"/>
      <c r="H6" s="433"/>
      <c r="I6" s="433"/>
      <c r="J6" s="433"/>
      <c r="K6" s="432"/>
    </row>
    <row r="7" spans="2:11" ht="14.25">
      <c r="B7" s="715" t="s">
        <v>11318</v>
      </c>
      <c r="C7" s="467">
        <v>0.2</v>
      </c>
      <c r="D7" s="467">
        <f>Calculator!F57/Calculator!F165</f>
        <v>0.5</v>
      </c>
      <c r="E7" s="459" t="str">
        <f>IF(D7&lt;C7,"Does Not Meet Criteria","Meets Criteria")</f>
        <v>Meets Criteria</v>
      </c>
      <c r="F7" s="432"/>
      <c r="G7" s="432"/>
      <c r="H7" s="432"/>
      <c r="I7" s="432"/>
      <c r="J7" s="432"/>
      <c r="K7" s="432"/>
    </row>
    <row r="8" spans="2:11" ht="30.75" customHeight="1">
      <c r="B8" s="829" t="s">
        <v>11332</v>
      </c>
      <c r="C8" s="829"/>
      <c r="D8" s="829"/>
      <c r="E8" s="829"/>
      <c r="F8" s="432"/>
      <c r="G8" s="432"/>
      <c r="H8" s="432"/>
      <c r="I8" s="432"/>
      <c r="J8" s="432"/>
      <c r="K8" s="432"/>
    </row>
    <row r="9" spans="2:11">
      <c r="B9" s="830" t="s">
        <v>11327</v>
      </c>
      <c r="C9" s="830"/>
      <c r="D9" s="830"/>
      <c r="E9" s="830"/>
    </row>
    <row r="10" spans="2:11" ht="13.5" thickBot="1">
      <c r="B10" s="831"/>
      <c r="C10" s="831"/>
      <c r="D10" s="831"/>
      <c r="E10" s="831"/>
    </row>
    <row r="11" spans="2:11" ht="15" thickTop="1">
      <c r="B11" s="464" t="s">
        <v>11133</v>
      </c>
      <c r="C11" s="465">
        <v>20</v>
      </c>
      <c r="D11" s="723">
        <f>Calculator!F57</f>
        <v>20</v>
      </c>
      <c r="E11" s="463" t="str">
        <f>IF(D11&lt;C11,"Does Not Meet Criteria","Meets Criteria")</f>
        <v>Meets Criteria</v>
      </c>
    </row>
    <row r="12" spans="2:11" ht="14.25">
      <c r="B12" s="460" t="s">
        <v>11149</v>
      </c>
      <c r="C12" s="461">
        <v>20</v>
      </c>
      <c r="D12" s="722">
        <f>Calculator!F145+SUMIF(Calculator!M151:M160,"*sub-shrub*",Calculator!F151:F160)+SUMIF(Calculator!M151:M160,"*vine*",Calculator!F151:F160)</f>
        <v>20.000000000000004</v>
      </c>
      <c r="E12" s="459" t="str">
        <f>IF(D12&lt;C12,"Does Not Meet Criteria","Meets Criteria")</f>
        <v>Meets Criteria</v>
      </c>
    </row>
    <row r="13" spans="2:11" ht="14.25">
      <c r="B13" s="460" t="s">
        <v>11130</v>
      </c>
      <c r="C13" s="727">
        <v>40</v>
      </c>
      <c r="D13" s="722">
        <f>Calculator!F165</f>
        <v>40</v>
      </c>
      <c r="E13" s="459" t="str">
        <f>IF(D13&gt;=C13,"Meets Criteria","Does Not Meet Criteria")</f>
        <v>Meets Criteria</v>
      </c>
    </row>
    <row r="14" spans="2:11" ht="12.75" customHeight="1" thickBot="1">
      <c r="B14" s="832" t="s">
        <v>11329</v>
      </c>
      <c r="C14" s="833"/>
      <c r="D14" s="833"/>
      <c r="E14" s="834"/>
    </row>
    <row r="15" spans="2:11" ht="15" thickTop="1">
      <c r="B15" s="464" t="s">
        <v>11133</v>
      </c>
      <c r="C15" s="465">
        <v>30</v>
      </c>
      <c r="D15" s="723">
        <f>Calculator!F57</f>
        <v>20</v>
      </c>
      <c r="E15" s="463" t="str">
        <f>IF(D15&lt;C15,"Does Not Meet Criteria","Meets Criteria")</f>
        <v>Does Not Meet Criteria</v>
      </c>
    </row>
    <row r="16" spans="2:11" ht="14.25">
      <c r="B16" s="460" t="s">
        <v>11149</v>
      </c>
      <c r="C16" s="461">
        <v>10</v>
      </c>
      <c r="D16" s="722">
        <f>Calculator!F145+SUMIF(Calculator!M151:M160,"*sub-shrub*",Calculator!F151:F160)+SUMIF(Calculator!M151:M160,"*vine*",Calculator!F151:F160)</f>
        <v>20.000000000000004</v>
      </c>
      <c r="E16" s="459" t="str">
        <f>IF(D16&lt;C16,"Does Not Meet Criteria","Meets Criteria")</f>
        <v>Meets Criteria</v>
      </c>
    </row>
    <row r="17" spans="2:5" ht="14.25">
      <c r="B17" s="460" t="s">
        <v>11130</v>
      </c>
      <c r="C17" s="727">
        <v>40</v>
      </c>
      <c r="D17" s="722">
        <f>Calculator!F165</f>
        <v>40</v>
      </c>
      <c r="E17" s="459" t="str">
        <f>IF(D17&gt;=C17,"Meets Criteria","Does Not Meet Criteria")</f>
        <v>Meets Criteria</v>
      </c>
    </row>
    <row r="18" spans="2:5" ht="12.75" customHeight="1" thickBot="1">
      <c r="B18" s="832" t="s">
        <v>11337</v>
      </c>
      <c r="C18" s="833"/>
      <c r="D18" s="833"/>
      <c r="E18" s="834"/>
    </row>
    <row r="19" spans="2:5" ht="15" thickTop="1">
      <c r="B19" s="464" t="s">
        <v>11133</v>
      </c>
      <c r="C19" s="465">
        <f>C11*1.5</f>
        <v>30</v>
      </c>
      <c r="D19" s="723">
        <f>Calculator!F57</f>
        <v>20</v>
      </c>
      <c r="E19" s="463" t="str">
        <f>IF(D19&lt;C19,"Does Not Meet Criteria","Meets Criteria")</f>
        <v>Does Not Meet Criteria</v>
      </c>
    </row>
    <row r="20" spans="2:5" ht="14.25">
      <c r="B20" s="460" t="s">
        <v>11149</v>
      </c>
      <c r="C20" s="461">
        <f>C12*1.5</f>
        <v>30</v>
      </c>
      <c r="D20" s="722">
        <f>Calculator!F145+SUMIF(Calculator!M151:M160,"*sub-shrub*",Calculator!F151:F160)+SUMIF(Calculator!M151:M160,"*vine*",Calculator!F151:F160)</f>
        <v>20.000000000000004</v>
      </c>
      <c r="E20" s="459" t="str">
        <f>IF(D20&lt;C20,"Does Not Meet Criteria","Meets Criteria")</f>
        <v>Does Not Meet Criteria</v>
      </c>
    </row>
    <row r="21" spans="2:5" ht="14.25">
      <c r="B21" s="460" t="s">
        <v>11130</v>
      </c>
      <c r="C21" s="727">
        <f>C13*1.5</f>
        <v>60</v>
      </c>
      <c r="D21" s="722">
        <f>Calculator!F165</f>
        <v>40</v>
      </c>
      <c r="E21" s="459" t="str">
        <f>IF(D21&gt;=C21,"Meets Criteria","Does Not Meet Criteria")</f>
        <v>Does Not Meet Criteria</v>
      </c>
    </row>
    <row r="22" spans="2:5" ht="12.75" customHeight="1" thickBot="1">
      <c r="B22" s="832" t="s">
        <v>11330</v>
      </c>
      <c r="C22" s="833"/>
      <c r="D22" s="833"/>
      <c r="E22" s="834"/>
    </row>
    <row r="23" spans="2:5" ht="15" thickTop="1">
      <c r="B23" s="464" t="s">
        <v>11133</v>
      </c>
      <c r="C23" s="465">
        <f>C15*1.5</f>
        <v>45</v>
      </c>
      <c r="D23" s="723">
        <f>Calculator!F57</f>
        <v>20</v>
      </c>
      <c r="E23" s="463" t="str">
        <f>IF(D23&lt;C23,"Does Not Meet Criteria","Meets Criteria")</f>
        <v>Does Not Meet Criteria</v>
      </c>
    </row>
    <row r="24" spans="2:5" ht="14.25">
      <c r="B24" s="460" t="s">
        <v>11149</v>
      </c>
      <c r="C24" s="461">
        <f>C16*1.5</f>
        <v>15</v>
      </c>
      <c r="D24" s="722">
        <f>Calculator!F145+SUMIF(Calculator!M151:M160,"*sub-shrub*",Calculator!F151:F160)+SUMIF(Calculator!M151:M160,"*vine*",Calculator!F151:F160)</f>
        <v>20.000000000000004</v>
      </c>
      <c r="E24" s="459" t="str">
        <f>IF(D24&lt;C24,"Does Not Meet Criteria","Meets Criteria")</f>
        <v>Meets Criteria</v>
      </c>
    </row>
    <row r="25" spans="2:5" ht="14.25">
      <c r="B25" s="460" t="s">
        <v>11130</v>
      </c>
      <c r="C25" s="727">
        <f>C17*1.5</f>
        <v>60</v>
      </c>
      <c r="D25" s="722">
        <f>Calculator!F165</f>
        <v>40</v>
      </c>
      <c r="E25" s="459" t="str">
        <f>IF(D25&gt;=C25,"Meets Criteria","Does Not Meet Criteria")</f>
        <v>Does Not Meet Criteria</v>
      </c>
    </row>
    <row r="26" spans="2:5" ht="13.5" thickBot="1">
      <c r="B26" s="821" t="s">
        <v>11134</v>
      </c>
      <c r="C26" s="822"/>
      <c r="D26" s="822"/>
      <c r="E26" s="823"/>
    </row>
    <row r="27" spans="2:5" ht="15" thickTop="1">
      <c r="B27" s="464" t="s">
        <v>11333</v>
      </c>
      <c r="C27" s="728">
        <v>4</v>
      </c>
      <c r="D27" s="728">
        <f>SUMIF(Calculator!B15:B54,"Switchgrass",Calculator!F15:F54)</f>
        <v>1.5</v>
      </c>
      <c r="E27" s="463" t="str">
        <f>IF(D27&gt;C27,"Does Not Meet Criteria","Meets Criteria")</f>
        <v>Meets Criteria</v>
      </c>
    </row>
    <row r="28" spans="2:5" ht="14.25">
      <c r="B28" s="460" t="s">
        <v>11334</v>
      </c>
      <c r="C28" s="727">
        <v>8</v>
      </c>
      <c r="D28" s="727">
        <f>SUMIF(Calculator!B15:B54,"Canada Wildrye",Calculator!F15:F54)</f>
        <v>1.7</v>
      </c>
      <c r="E28" s="459" t="str">
        <f>IF(D28&gt;C28,"Does Not Meet Criteria","Meets Criteria")</f>
        <v>Meets Criteria</v>
      </c>
    </row>
  </sheetData>
  <sheetProtection password="9A0B" sheet="1" objects="1" scenarios="1"/>
  <mergeCells count="9">
    <mergeCell ref="B1:E2"/>
    <mergeCell ref="B26:E26"/>
    <mergeCell ref="B5:E5"/>
    <mergeCell ref="B8:E8"/>
    <mergeCell ref="B4:E4"/>
    <mergeCell ref="B9:E10"/>
    <mergeCell ref="B14:E14"/>
    <mergeCell ref="B18:E18"/>
    <mergeCell ref="B22:E22"/>
  </mergeCells>
  <conditionalFormatting sqref="E27:E28 E23:E25 E19:E21 E15:E17 E11:E13 E3 E6:E7">
    <cfRule type="containsText" dxfId="9" priority="18" operator="containsText" text="Does Not Meet Criteria">
      <formula>NOT(ISERROR(SEARCH("Does Not Meet Criteria",E3)))</formula>
    </cfRule>
    <cfRule type="containsText" dxfId="8" priority="19" operator="containsText" text="Meets Criteria">
      <formula>NOT(ISERROR(SEARCH("Meets Criteria",E3)))</formula>
    </cfRule>
  </conditionalFormatting>
  <printOptions horizontalCentered="1"/>
  <pageMargins left="0.7" right="0.7" top="0.75" bottom="0.75" header="0.3" footer="0.3"/>
  <pageSetup orientation="portrait" r:id="rId1"/>
  <headerFooter>
    <oddFooter xml:space="preserve">&amp;L&amp;"Arial,Bold"&amp;K06-045Iowa Natural Resources
Conservation Service&amp;C&amp;"Arial,Bold"&amp;K06-045Native Seed Mix Calculator
327 Conservation Cover Standard Check Sheet&amp;R&amp;"Arial,Bold"&amp;K06-045Mix Developed &amp;D  </oddFooter>
  </headerFooter>
</worksheet>
</file>

<file path=xl/worksheets/sheet12.xml><?xml version="1.0" encoding="utf-8"?>
<worksheet xmlns="http://schemas.openxmlformats.org/spreadsheetml/2006/main" xmlns:r="http://schemas.openxmlformats.org/officeDocument/2006/relationships">
  <sheetPr codeName="Sheet4">
    <tabColor theme="5" tint="-0.249977111117893"/>
    <pageSetUpPr fitToPage="1"/>
  </sheetPr>
  <dimension ref="B1:Q98"/>
  <sheetViews>
    <sheetView workbookViewId="0"/>
  </sheetViews>
  <sheetFormatPr defaultRowHeight="12.75"/>
  <cols>
    <col min="1" max="1" width="3.140625" style="436" customWidth="1"/>
    <col min="2" max="2" width="38" style="436" bestFit="1" customWidth="1"/>
    <col min="3" max="3" width="7.7109375" style="436" bestFit="1" customWidth="1"/>
    <col min="4" max="4" width="7" style="436" bestFit="1" customWidth="1"/>
    <col min="5" max="5" width="20.140625" style="436" bestFit="1" customWidth="1"/>
    <col min="6" max="6" width="2.85546875" style="436" customWidth="1"/>
    <col min="7" max="7" width="43.7109375" style="436" bestFit="1" customWidth="1"/>
    <col min="8" max="8" width="8.85546875" style="436" bestFit="1" customWidth="1"/>
    <col min="9" max="9" width="8.42578125" style="436" bestFit="1" customWidth="1"/>
    <col min="10" max="10" width="29" style="436" bestFit="1" customWidth="1"/>
    <col min="11" max="16384" width="9.140625" style="436"/>
  </cols>
  <sheetData>
    <row r="1" spans="2:17">
      <c r="N1" s="433"/>
      <c r="O1" s="432"/>
      <c r="P1" s="432"/>
      <c r="Q1" s="432"/>
    </row>
    <row r="2" spans="2:17" ht="38.25" customHeight="1">
      <c r="B2" s="847" t="s">
        <v>11140</v>
      </c>
      <c r="C2" s="848"/>
      <c r="D2" s="848"/>
      <c r="E2" s="849"/>
      <c r="G2" s="847" t="s">
        <v>11141</v>
      </c>
      <c r="H2" s="848"/>
      <c r="I2" s="848"/>
      <c r="J2" s="849"/>
      <c r="N2" s="720"/>
      <c r="O2" s="721"/>
      <c r="P2" s="863"/>
      <c r="Q2" s="863"/>
    </row>
    <row r="3" spans="2:17">
      <c r="B3" s="470" t="s">
        <v>11129</v>
      </c>
      <c r="C3" s="468" t="s">
        <v>11128</v>
      </c>
      <c r="D3" s="468" t="s">
        <v>11127</v>
      </c>
      <c r="E3" s="469" t="s">
        <v>11126</v>
      </c>
      <c r="G3" s="860" t="s">
        <v>11142</v>
      </c>
      <c r="H3" s="861"/>
      <c r="I3" s="468" t="s">
        <v>11127</v>
      </c>
      <c r="J3" s="469" t="s">
        <v>11301</v>
      </c>
      <c r="N3" s="432"/>
      <c r="O3" s="432"/>
      <c r="P3" s="432"/>
      <c r="Q3" s="432"/>
    </row>
    <row r="4" spans="2:17" ht="15">
      <c r="B4" s="850"/>
      <c r="C4" s="851"/>
      <c r="D4" s="851"/>
      <c r="E4" s="852"/>
      <c r="G4" s="850"/>
      <c r="H4" s="851"/>
      <c r="I4" s="851"/>
      <c r="J4" s="852"/>
    </row>
    <row r="5" spans="2:17" ht="13.5" thickBot="1">
      <c r="B5" s="853" t="s">
        <v>11135</v>
      </c>
      <c r="C5" s="853"/>
      <c r="D5" s="853"/>
      <c r="E5" s="853"/>
      <c r="G5" s="853" t="s">
        <v>11144</v>
      </c>
      <c r="H5" s="853"/>
      <c r="I5" s="853"/>
      <c r="J5" s="853"/>
    </row>
    <row r="6" spans="2:17" s="458" customFormat="1" ht="15" thickTop="1">
      <c r="B6" s="472" t="s">
        <v>11320</v>
      </c>
      <c r="C6" s="462">
        <v>0.2</v>
      </c>
      <c r="D6" s="466">
        <f>(SUMIF(Calculator!M63:M142,"*annual*",Calculator!F63:F142)+SUMIF(Calculator!M63:M142,"*biennial*",Calculator!F63:F142))/Calculator!F145</f>
        <v>0.16080402010050249</v>
      </c>
      <c r="E6" s="732" t="str">
        <f>IF(D6&gt;C6,"Does Not Meet Criteria","Meets Criteria")</f>
        <v>Meets Criteria</v>
      </c>
      <c r="G6" s="472" t="s">
        <v>11150</v>
      </c>
      <c r="H6" s="462">
        <v>0.2</v>
      </c>
      <c r="I6" s="712">
        <f>(SUMIF(Calculator!G15:G54,"&lt;=3",Calculator!F15:F54)+SUMIF(Calculator!G63:G142,"&lt;=3",Calculator!F63:F142)+SUMIF(Calculator!G151:G160,"&lt;=3",Calculator!F151:F160))/Calculator!F165</f>
        <v>0.17250000000000001</v>
      </c>
      <c r="J6" s="463" t="str">
        <f>IF(I6&gt;H6+10,"Does Not Meet Recommendation","Meets Recommendation")</f>
        <v>Meets Recommendation</v>
      </c>
      <c r="K6" s="674"/>
      <c r="N6" s="436"/>
      <c r="O6" s="436"/>
      <c r="P6" s="436"/>
    </row>
    <row r="7" spans="2:17" s="458" customFormat="1" ht="14.25">
      <c r="B7" s="483" t="s">
        <v>11319</v>
      </c>
      <c r="C7" s="716">
        <v>0.2</v>
      </c>
      <c r="D7" s="716">
        <f>Calculator!F57/Calculator!F165</f>
        <v>0.5</v>
      </c>
      <c r="E7" s="731" t="str">
        <f>IF(D7&lt;=C7,"Does Not Meet Criteria","Meets Criteria")</f>
        <v>Meets Criteria</v>
      </c>
      <c r="G7" s="472" t="s">
        <v>11151</v>
      </c>
      <c r="H7" s="473">
        <v>0.65</v>
      </c>
      <c r="I7" s="712">
        <f>(SUMIF(Calculator!G15:G54,4,Calculator!F15:F54)+SUMIF(Calculator!G63:G142,4,Calculator!F63:F142)+SUMIF(Calculator!G151:G160,4,Calculator!F151:F160)+ SUMIF(Calculator!G15:G54,5,Calculator!F15:F54)+SUMIF(Calculator!G63:G142,5,Calculator!F63:F142)+SUMIF(Calculator!G151:G160,5,Calculator!F151:F160)+ SUMIF(Calculator!G15:G54,6,Calculator!F15:F54)+SUMIF(Calculator!G63:G142,6,Calculator!F63:F142)+SUMIF(Calculator!G151:G160,6,Calculator!F151:F160))/Calculator!F165</f>
        <v>0.49125000000000008</v>
      </c>
      <c r="J7" s="456" t="str">
        <f>IF(I7&lt;H7-10,"Does Not Meet Recommendation","Meets Recommendation")</f>
        <v>Meets Recommendation</v>
      </c>
      <c r="N7" s="436"/>
      <c r="O7" s="436"/>
      <c r="P7" s="436"/>
    </row>
    <row r="8" spans="2:17" s="458" customFormat="1" ht="14.25">
      <c r="B8" s="472" t="s">
        <v>11145</v>
      </c>
      <c r="C8" s="471">
        <v>20</v>
      </c>
      <c r="D8" s="694">
        <f>(COUNTIF(Calculator!M63:M142,"*forb*")/2)+(COUNTIF(Calculator!M151:M160,"*sub-shrub*")/2)</f>
        <v>30</v>
      </c>
      <c r="E8" s="463" t="str">
        <f>IF(D8&lt;C8,"Does Not Meet Criteria","Meets Criteria")</f>
        <v>Meets Criteria</v>
      </c>
      <c r="G8" s="472" t="s">
        <v>11152</v>
      </c>
      <c r="H8" s="462">
        <v>0.15</v>
      </c>
      <c r="I8" s="713">
        <f>(SUMIF(Calculator!G15:G54,"&gt;=7",Calculator!F15:F54)+SUMIF(Calculator!G63:G142,"&gt;=7",Calculator!F63:F142)+SUMIF(Calculator!G151:G160,"&gt;=7",Calculator!F151:F160))/Calculator!F165</f>
        <v>0.33625000000000005</v>
      </c>
      <c r="J8" s="463" t="str">
        <f>IF(I8&gt;H8,"Does Not Meet Recommendation","Meets Recommendation")</f>
        <v>Does Not Meet Recommendation</v>
      </c>
      <c r="N8" s="436"/>
      <c r="O8" s="436"/>
      <c r="P8" s="436"/>
    </row>
    <row r="9" spans="2:17" s="458" customFormat="1">
      <c r="B9" s="670" t="s">
        <v>11139</v>
      </c>
      <c r="C9" s="671">
        <v>10</v>
      </c>
      <c r="D9" s="643">
        <f>Calculator!C57</f>
        <v>15</v>
      </c>
      <c r="E9" s="459" t="str">
        <f>IF(D9&lt;C9,"Does Not Meet Criteria","Meets Criteria")</f>
        <v>Meets Criteria</v>
      </c>
      <c r="G9" s="652" t="s">
        <v>11292</v>
      </c>
      <c r="H9" s="702" t="s">
        <v>11294</v>
      </c>
      <c r="I9" s="664">
        <f>1/(SUMSQ(Calculator!K15:K54,Calculator!K63:K142,Calculator!K151:K160))/Calculator!H165</f>
        <v>0.71432557620402914</v>
      </c>
      <c r="J9" s="653" t="str">
        <f>IF(I9&lt;0.7,"Does Not Meet Recommendation","Meets Recommendation")</f>
        <v>Meets Recommendation</v>
      </c>
      <c r="N9" s="436"/>
      <c r="O9" s="436"/>
      <c r="P9" s="436"/>
    </row>
    <row r="10" spans="2:17" ht="15" thickBot="1">
      <c r="B10" s="670" t="s">
        <v>11138</v>
      </c>
      <c r="C10" s="671">
        <v>30</v>
      </c>
      <c r="D10" s="643">
        <f>Calculator!H165</f>
        <v>45</v>
      </c>
      <c r="E10" s="459" t="str">
        <f>IF(D10&lt;C10,"Does Not Meet Criteria","Meets Criteria")</f>
        <v>Meets Criteria</v>
      </c>
      <c r="G10" s="486" t="s">
        <v>11211</v>
      </c>
      <c r="H10" s="831" t="s">
        <v>9</v>
      </c>
      <c r="I10" s="831"/>
      <c r="J10" s="487" t="s">
        <v>11213</v>
      </c>
    </row>
    <row r="11" spans="2:17" ht="13.5" thickTop="1">
      <c r="B11" s="672" t="s">
        <v>11281</v>
      </c>
      <c r="C11" s="642">
        <v>20</v>
      </c>
      <c r="D11" s="673">
        <f>Calculator!I165</f>
        <v>36.522443632496568</v>
      </c>
      <c r="E11" s="459" t="str">
        <f>IF(D11&lt;20,"Does Not Meet Criteria","Meets Criteria")</f>
        <v>Meets Criteria</v>
      </c>
      <c r="G11" s="485" t="s">
        <v>1044</v>
      </c>
      <c r="H11" s="862">
        <f>COUNTIF(Calculator!M151:M160,"Cactus")</f>
        <v>0</v>
      </c>
      <c r="I11" s="862"/>
      <c r="J11" s="466">
        <f>SUMIF(Calculator!M151:M160,"Cactus",Calculator!F151:F160)/Calculator!F165</f>
        <v>0</v>
      </c>
      <c r="K11" s="675"/>
    </row>
    <row r="12" spans="2:17" ht="12.75" customHeight="1">
      <c r="B12" s="672" t="s">
        <v>11295</v>
      </c>
      <c r="C12" s="642">
        <v>3</v>
      </c>
      <c r="D12" s="673">
        <f>Calculator!G165</f>
        <v>5.4444444444444446</v>
      </c>
      <c r="E12" s="459" t="str">
        <f>IF(D12&lt;3,"Does Not Meet Criteria","Meets Criteria")</f>
        <v>Meets Criteria</v>
      </c>
      <c r="G12" s="483" t="s">
        <v>11210</v>
      </c>
      <c r="H12" s="840"/>
      <c r="I12" s="840"/>
      <c r="J12" s="467"/>
    </row>
    <row r="13" spans="2:17">
      <c r="B13" s="828" t="s">
        <v>11332</v>
      </c>
      <c r="C13" s="828"/>
      <c r="D13" s="828"/>
      <c r="E13" s="828"/>
      <c r="G13" s="482" t="s">
        <v>11189</v>
      </c>
      <c r="H13" s="840">
        <f>COUNTIF(Calculator!M63:M142,"Annual Forb")/2</f>
        <v>2</v>
      </c>
      <c r="I13" s="840"/>
      <c r="J13" s="467">
        <f>SUMIF(Calculator!M63:M142,"Annual Forb",Calculator!F63:F142)/Calculator!F165</f>
        <v>3.0000000000000006E-2</v>
      </c>
    </row>
    <row r="14" spans="2:17" ht="12.75" customHeight="1">
      <c r="B14" s="828"/>
      <c r="C14" s="828"/>
      <c r="D14" s="828"/>
      <c r="E14" s="828"/>
      <c r="G14" s="482" t="s">
        <v>11190</v>
      </c>
      <c r="H14" s="840">
        <f>COUNTIF(Calculator!M63:M142,"Biennial Forb")/2</f>
        <v>0</v>
      </c>
      <c r="I14" s="840"/>
      <c r="J14" s="467">
        <f>SUMIF(Calculator!M63:M142,"Biennial Forb",Calculator!F63:F142)/Calculator!F165</f>
        <v>0</v>
      </c>
    </row>
    <row r="15" spans="2:17">
      <c r="B15" s="854" t="s">
        <v>11327</v>
      </c>
      <c r="C15" s="855"/>
      <c r="D15" s="855"/>
      <c r="E15" s="856"/>
      <c r="G15" s="482" t="s">
        <v>11191</v>
      </c>
      <c r="H15" s="840">
        <f>COUNTIF(Calculator!M63:M142,"Annual Forb, Hemiparasite")/2</f>
        <v>1</v>
      </c>
      <c r="I15" s="840"/>
      <c r="J15" s="467">
        <f>SUMIF(Calculator!M63:M142,"Annual Forb, Hemiparasite",Calculator!F63:F142)/Calculator!F165</f>
        <v>0.03</v>
      </c>
    </row>
    <row r="16" spans="2:17" ht="13.5" thickBot="1">
      <c r="B16" s="857"/>
      <c r="C16" s="858"/>
      <c r="D16" s="858"/>
      <c r="E16" s="859"/>
      <c r="G16" s="482" t="s">
        <v>11192</v>
      </c>
      <c r="H16" s="840">
        <f>COUNTIF(Calculator!M63:M142,"Perennial Forb, Hemiparasite")/2</f>
        <v>1</v>
      </c>
      <c r="I16" s="840"/>
      <c r="J16" s="467">
        <f>SUMIF(Calculator!M63:M142,"Perennial Forb, Hemiparasite",Calculator!F63:F142)/Calculator!F165</f>
        <v>4.4999999999999998E-2</v>
      </c>
    </row>
    <row r="17" spans="2:10" ht="15" thickTop="1">
      <c r="B17" s="464" t="s">
        <v>11321</v>
      </c>
      <c r="C17" s="465">
        <v>20</v>
      </c>
      <c r="D17" s="723">
        <f>Calculator!F57</f>
        <v>20</v>
      </c>
      <c r="E17" s="463" t="str">
        <f>IF(D17&lt;C17,"Does Not Meet Criteria","Meets Criteria")</f>
        <v>Meets Criteria</v>
      </c>
      <c r="G17" s="482" t="s">
        <v>11193</v>
      </c>
      <c r="H17" s="840">
        <f>COUNTIF(Calculator!M63:M142,"Annual Forb, Legume")/2</f>
        <v>1</v>
      </c>
      <c r="I17" s="840"/>
      <c r="J17" s="467">
        <f>SUMIF(Calculator!M63:M142,"Annual Forb, Legume",Calculator!F63:F142)/Calculator!F165</f>
        <v>0.02</v>
      </c>
    </row>
    <row r="18" spans="2:10" ht="14.25">
      <c r="B18" s="460" t="s">
        <v>11149</v>
      </c>
      <c r="C18" s="461">
        <v>20</v>
      </c>
      <c r="D18" s="722">
        <f>Calculator!F145+SUMIF(Calculator!M151:M160,"*sub-shrub*",Calculator!F151:F160)+SUMIF(Calculator!M151:M160,"*vine*",Calculator!F151:F160)</f>
        <v>20.000000000000004</v>
      </c>
      <c r="E18" s="459" t="str">
        <f>IF(D18&lt;C18,"Does Not Meet Criteria","Meets Criteria")</f>
        <v>Meets Criteria</v>
      </c>
      <c r="G18" s="482" t="s">
        <v>11194</v>
      </c>
      <c r="H18" s="840">
        <f>COUNTIF(Calculator!M63:M142,"Perennial Forb, Legume")/2</f>
        <v>0</v>
      </c>
      <c r="I18" s="840"/>
      <c r="J18" s="467">
        <f>SUMIF(Calculator!M63:M142,"Perennial Forb, Legume",Calculator!F63:F142)/Calculator!F165</f>
        <v>0</v>
      </c>
    </row>
    <row r="19" spans="2:10" ht="14.25">
      <c r="B19" s="460" t="s">
        <v>11130</v>
      </c>
      <c r="C19" s="693">
        <f>IF(Calculator!F57&gt;21,50,40)</f>
        <v>40</v>
      </c>
      <c r="D19" s="722">
        <f>Calculator!F165</f>
        <v>40</v>
      </c>
      <c r="E19" s="459" t="str">
        <f>IF(D19&lt;C19,"Does Not Meet Criteria","Meets Criteria")</f>
        <v>Meets Criteria</v>
      </c>
      <c r="G19" s="482" t="s">
        <v>11195</v>
      </c>
      <c r="H19" s="840">
        <f>COUNTIF(Calculator!M63:M142,"Annual Forb, Parasitic")/2</f>
        <v>0</v>
      </c>
      <c r="I19" s="840"/>
      <c r="J19" s="467">
        <f>SUMIF(Calculator!M63:M142,"Annual Forb, Parasitic",Calculator!F63:F142)/Calculator!F165</f>
        <v>0</v>
      </c>
    </row>
    <row r="20" spans="2:10">
      <c r="B20" s="854" t="s">
        <v>11326</v>
      </c>
      <c r="C20" s="855"/>
      <c r="D20" s="855"/>
      <c r="E20" s="856"/>
      <c r="G20" s="482" t="s">
        <v>11196</v>
      </c>
      <c r="H20" s="840">
        <f>COUNTIF(Calculator!M63:M142,"Perennial Forb")/2</f>
        <v>24</v>
      </c>
      <c r="I20" s="840"/>
      <c r="J20" s="467">
        <f>SUMIF(Calculator!M63:M142,"Perennial Forb",Calculator!F63:F142)/Calculator!F165</f>
        <v>0.3725</v>
      </c>
    </row>
    <row r="21" spans="2:10" ht="13.5" thickBot="1">
      <c r="B21" s="857"/>
      <c r="C21" s="858"/>
      <c r="D21" s="858"/>
      <c r="E21" s="859"/>
      <c r="G21" s="482" t="s">
        <v>11197</v>
      </c>
      <c r="H21" s="840">
        <f>COUNTIF(Calculator!M15:M54,"Annual Cool Season Grass")/2</f>
        <v>0</v>
      </c>
      <c r="I21" s="840"/>
      <c r="J21" s="467">
        <f>SUMIF(Calculator!M15:M54,"AnnualCoolSeasonGrass",Calculator!F15:F54)/Calculator!F165</f>
        <v>0</v>
      </c>
    </row>
    <row r="22" spans="2:10" ht="15" thickTop="1">
      <c r="B22" s="464" t="s">
        <v>11321</v>
      </c>
      <c r="C22" s="465">
        <v>30</v>
      </c>
      <c r="D22" s="723">
        <f>Calculator!F57</f>
        <v>20</v>
      </c>
      <c r="E22" s="463" t="str">
        <f>IF(D22&lt;C22,"Does Not Meet Criteria","Meets Criteria")</f>
        <v>Does Not Meet Criteria</v>
      </c>
      <c r="G22" s="482" t="s">
        <v>11198</v>
      </c>
      <c r="H22" s="840">
        <f>COUNTIF(Calculator!M15:M54,"Perennial Cool Season Grass")/2</f>
        <v>5</v>
      </c>
      <c r="I22" s="840"/>
      <c r="J22" s="467">
        <f>SUMIF(Calculator!M15:M54,"Perennial Cool Season Grass",Calculator!F15:F54)/Calculator!F165</f>
        <v>0.20249999999999999</v>
      </c>
    </row>
    <row r="23" spans="2:10" ht="14.25">
      <c r="B23" s="460" t="s">
        <v>11149</v>
      </c>
      <c r="C23" s="461">
        <v>10</v>
      </c>
      <c r="D23" s="722">
        <f>Calculator!F145+SUMIF(Calculator!M151:M160,"*sub-shrub*",Calculator!F151:F160)+SUMIF(Calculator!M151:M160,"*vine*",Calculator!F151:F160)</f>
        <v>20.000000000000004</v>
      </c>
      <c r="E23" s="459" t="str">
        <f>IF(D23&lt;C23,"Does Not Meet Criteria","Meets Criteria")</f>
        <v>Meets Criteria</v>
      </c>
      <c r="G23" s="482" t="s">
        <v>11199</v>
      </c>
      <c r="H23" s="840">
        <f>COUNTIF(Calculator!M15:M54,"Annual Warm Season Grass")/2</f>
        <v>1</v>
      </c>
      <c r="I23" s="840"/>
      <c r="J23" s="467">
        <f>SUMIF(Calculator!M15:M54,"Annual Warm Season Grass",Calculator!F15:F54)/Calculator!F165</f>
        <v>3.7499999999999999E-2</v>
      </c>
    </row>
    <row r="24" spans="2:10" ht="14.25">
      <c r="B24" s="460" t="s">
        <v>11130</v>
      </c>
      <c r="C24" s="727">
        <f>IF(Calculator!F62&gt;21,50,40)</f>
        <v>40</v>
      </c>
      <c r="D24" s="722">
        <f>Calculator!F165</f>
        <v>40</v>
      </c>
      <c r="E24" s="459" t="str">
        <f>IF(D24&lt;C24,"Does Not Meet Criteria","Meets Criteria")</f>
        <v>Meets Criteria</v>
      </c>
      <c r="G24" s="482" t="s">
        <v>11200</v>
      </c>
      <c r="H24" s="840">
        <f>COUNTIF(Calculator!M15:M54,"Perennial Warm Season Grass")/2</f>
        <v>3</v>
      </c>
      <c r="I24" s="840"/>
      <c r="J24" s="467">
        <f>SUMIF(Calculator!M15:M54,"Perennial Warm Season Grass",Calculator!F15:F54)/Calculator!F165</f>
        <v>7.2499999999999995E-2</v>
      </c>
    </row>
    <row r="25" spans="2:10" ht="12.75" customHeight="1" thickBot="1">
      <c r="B25" s="832" t="s">
        <v>11338</v>
      </c>
      <c r="C25" s="833"/>
      <c r="D25" s="833"/>
      <c r="E25" s="834"/>
      <c r="G25" s="482" t="s">
        <v>11201</v>
      </c>
      <c r="H25" s="840">
        <f>COUNTIF(Calculator!M15:M54,"Perennial Cool Season Rush")/2</f>
        <v>0</v>
      </c>
      <c r="I25" s="840"/>
      <c r="J25" s="467">
        <f>SUMIF(Calculator!M15:M54,"Perennial Cool Season Rush",Calculator!F15:F54)/Calculator!F165</f>
        <v>0</v>
      </c>
    </row>
    <row r="26" spans="2:10" ht="15" thickTop="1">
      <c r="B26" s="464" t="s">
        <v>11321</v>
      </c>
      <c r="C26" s="465">
        <f>C17*1.5</f>
        <v>30</v>
      </c>
      <c r="D26" s="723">
        <f>Calculator!F57</f>
        <v>20</v>
      </c>
      <c r="E26" s="463" t="str">
        <f>IF(D26&lt;C26,"Does Not Meet Criteria","Meets Criteria")</f>
        <v>Does Not Meet Criteria</v>
      </c>
      <c r="G26" s="482" t="s">
        <v>11202</v>
      </c>
      <c r="H26" s="840">
        <f>COUNTIF(Calculator!M15:M54,"Annual Cool Season Sedge")/2</f>
        <v>1</v>
      </c>
      <c r="I26" s="840"/>
      <c r="J26" s="467">
        <f>SUMIF(Calculator!M15:M54,"Annual Cool Season Sedge",Calculator!F15:F54)/Calculator!F165</f>
        <v>3.7499999999999999E-2</v>
      </c>
    </row>
    <row r="27" spans="2:10" ht="14.25">
      <c r="B27" s="460" t="s">
        <v>11149</v>
      </c>
      <c r="C27" s="461">
        <f>C18*1.5</f>
        <v>30</v>
      </c>
      <c r="D27" s="722">
        <f>Calculator!F145+SUMIF(Calculator!M151:M160,"*sub-shrub*",Calculator!F151:F160)+SUMIF(Calculator!M151:M160,"*vine*",Calculator!F151:F160)</f>
        <v>20.000000000000004</v>
      </c>
      <c r="E27" s="459" t="str">
        <f>IF(D27&lt;C27,"Does Not Meet Criteria","Meets Criteria")</f>
        <v>Does Not Meet Criteria</v>
      </c>
      <c r="G27" s="482" t="s">
        <v>11203</v>
      </c>
      <c r="H27" s="840">
        <f>COUNTIF(Calculator!M15:M54,"Perennial Cool Season Sedge")/2</f>
        <v>5</v>
      </c>
      <c r="I27" s="840"/>
      <c r="J27" s="467">
        <f>SUMIF(Calculator!M15:M54,"Perennial Cool Season Sedge",Calculator!F15:F54)/Calculator!F165</f>
        <v>0.15000000000000002</v>
      </c>
    </row>
    <row r="28" spans="2:10" ht="14.25">
      <c r="B28" s="460" t="s">
        <v>11130</v>
      </c>
      <c r="C28" s="693">
        <f>C19*1.5</f>
        <v>60</v>
      </c>
      <c r="D28" s="722">
        <f>Calculator!F165</f>
        <v>40</v>
      </c>
      <c r="E28" s="459" t="str">
        <f>IF(D28&lt;C28,"Does Not Meet Criteria","Meets Criteria")</f>
        <v>Does Not Meet Criteria</v>
      </c>
      <c r="G28" s="482" t="s">
        <v>1042</v>
      </c>
      <c r="H28" s="840">
        <f>COUNTIF(Calculator!M151:M160,"Shrub")/2</f>
        <v>0</v>
      </c>
      <c r="I28" s="840"/>
      <c r="J28" s="467">
        <f>SUMIF(Calculator!M151:M160,"Shrub",Calculator!F151:F160)/Calculator!F165</f>
        <v>0</v>
      </c>
    </row>
    <row r="29" spans="2:10" ht="13.5" thickBot="1">
      <c r="B29" s="832" t="s">
        <v>11331</v>
      </c>
      <c r="C29" s="833"/>
      <c r="D29" s="833"/>
      <c r="E29" s="834"/>
      <c r="G29" s="482" t="s">
        <v>11204</v>
      </c>
      <c r="H29" s="840">
        <f>COUNTIF(Calculator!M151:M160,"Sub-shrub")/2</f>
        <v>1</v>
      </c>
      <c r="I29" s="840"/>
      <c r="J29" s="467">
        <f>SUMIF(Calculator!M151:M160,"Sub-shrub",Calculator!F151:F160)/Calculator!F165</f>
        <v>2.5000000000000001E-3</v>
      </c>
    </row>
    <row r="30" spans="2:10" ht="12.75" customHeight="1" thickTop="1">
      <c r="B30" s="464" t="s">
        <v>11321</v>
      </c>
      <c r="C30" s="465">
        <f>C26*1.5</f>
        <v>45</v>
      </c>
      <c r="D30" s="723">
        <f>Calculator!F57</f>
        <v>20</v>
      </c>
      <c r="E30" s="463" t="str">
        <f>IF(D30&lt;C30,"Does Not Meet Criteria","Meets Criteria")</f>
        <v>Does Not Meet Criteria</v>
      </c>
      <c r="G30" s="484" t="s">
        <v>1046</v>
      </c>
      <c r="H30" s="840">
        <f>COUNTIF(Calculator!M151:M160,"Sub-shrub, Legume")/2</f>
        <v>0</v>
      </c>
      <c r="I30" s="840"/>
      <c r="J30" s="467">
        <f>SUMIF(Calculator!M151:M160,"Sub-shrub, Legume",Calculator!F151:F160)/Calculator!F165</f>
        <v>0</v>
      </c>
    </row>
    <row r="31" spans="2:10" ht="14.25">
      <c r="B31" s="460" t="s">
        <v>11149</v>
      </c>
      <c r="C31" s="461">
        <f>C23*1.5</f>
        <v>15</v>
      </c>
      <c r="D31" s="722">
        <f>Calculator!F145+SUMIF(Calculator!M151:M160,"*sub-shrub*",Calculator!F151:F160)+SUMIF(Calculator!M151:M160,"*vine*",Calculator!F151:F160)</f>
        <v>20.000000000000004</v>
      </c>
      <c r="E31" s="459" t="str">
        <f>IF(D31&lt;C31,"Does Not Meet Criteria","Meets Criteria")</f>
        <v>Meets Criteria</v>
      </c>
      <c r="G31" s="482" t="s">
        <v>1045</v>
      </c>
      <c r="H31" s="840">
        <f>COUNTIF(Calculator!M151:M160,"Tree")/2</f>
        <v>0</v>
      </c>
      <c r="I31" s="840"/>
      <c r="J31" s="467">
        <f>SUMIF(Calculator!M151:M160,"Tree",Calculator!F151:F160)/Calculator!F165</f>
        <v>0</v>
      </c>
    </row>
    <row r="32" spans="2:10" ht="14.25">
      <c r="B32" s="460" t="s">
        <v>11130</v>
      </c>
      <c r="C32" s="727">
        <f>C24*1.5</f>
        <v>60</v>
      </c>
      <c r="D32" s="722">
        <f>Calculator!F165</f>
        <v>40</v>
      </c>
      <c r="E32" s="459" t="str">
        <f>IF(D32&lt;C32,"Does Not Meet Criteria","Meets Criteria")</f>
        <v>Does Not Meet Criteria</v>
      </c>
      <c r="G32" s="482" t="s">
        <v>11205</v>
      </c>
      <c r="H32" s="840">
        <f>COUNTIF(Calculator!M151:M160,"Herbaceous Vine, Legume, Annual")/2</f>
        <v>0</v>
      </c>
      <c r="I32" s="840"/>
      <c r="J32" s="467">
        <f>SUMIF(Calculator!M151:M160,"Herbaceous Vine, Legume, Annual",Calculator!F151:F160)/Calculator!F165</f>
        <v>0</v>
      </c>
    </row>
    <row r="33" spans="2:10" ht="13.5" thickBot="1">
      <c r="B33" s="821" t="s">
        <v>11328</v>
      </c>
      <c r="C33" s="822"/>
      <c r="D33" s="822"/>
      <c r="E33" s="823"/>
      <c r="G33" s="482" t="s">
        <v>11206</v>
      </c>
      <c r="H33" s="840">
        <f>COUNTIF(Calculator!M151:M160,"Herbaceous Vine, Annual")/2</f>
        <v>0</v>
      </c>
      <c r="I33" s="840"/>
      <c r="J33" s="467">
        <f>SUMIF(Calculator!M151:M160,"Herbaceous Vine, Annual",Calculator!F151:F160)/Calculator!F165</f>
        <v>0</v>
      </c>
    </row>
    <row r="34" spans="2:10" ht="15" thickTop="1">
      <c r="B34" s="464" t="s">
        <v>11333</v>
      </c>
      <c r="C34" s="728">
        <v>4</v>
      </c>
      <c r="D34" s="728">
        <f>SUMIF(Calculator!B15:B54,"Switchgrass",Calculator!F15:F54)</f>
        <v>1.5</v>
      </c>
      <c r="E34" s="463" t="str">
        <f>IF(D34&gt;C34,"Does Not Meet Criteria","Meets Criteria")</f>
        <v>Meets Criteria</v>
      </c>
      <c r="G34" s="482" t="s">
        <v>11207</v>
      </c>
      <c r="H34" s="840">
        <f>COUNTIF(Calculator!M151:M160,"Herbaceous Vine, Legume")/2</f>
        <v>0</v>
      </c>
      <c r="I34" s="840"/>
      <c r="J34" s="467">
        <f>SUMIF(Calculator!M151:M160,"Herbaceous Vine, Legume",Calculator!F151:F160)/Calculator!F165</f>
        <v>0</v>
      </c>
    </row>
    <row r="35" spans="2:10" ht="14.25">
      <c r="B35" s="460" t="s">
        <v>11334</v>
      </c>
      <c r="C35" s="727">
        <v>8</v>
      </c>
      <c r="D35" s="727">
        <f>SUMIF(Calculator!B15:B54,"Canada Wildrye",Calculator!F15:F54)</f>
        <v>1.7</v>
      </c>
      <c r="E35" s="459" t="str">
        <f>IF(D35&gt;C35,"Does Not Meet Criteria","Meets Criteria")</f>
        <v>Meets Criteria</v>
      </c>
      <c r="G35" s="482" t="s">
        <v>11208</v>
      </c>
      <c r="H35" s="840">
        <f>COUNTIF(Calculator!M151:M160,"Herbaceous Vine")/2</f>
        <v>0</v>
      </c>
      <c r="I35" s="840"/>
      <c r="J35" s="467">
        <f>SUMIF(Calculator!M151:M160,"Herbaceous Vine",Calculator!F151:F160)/Calculator!F165</f>
        <v>0</v>
      </c>
    </row>
    <row r="36" spans="2:10">
      <c r="G36" s="661" t="s">
        <v>11209</v>
      </c>
      <c r="H36" s="843">
        <f>COUNTIF(Calculator!M151:M160,"Woody Vine")/2</f>
        <v>0</v>
      </c>
      <c r="I36" s="843"/>
      <c r="J36" s="662">
        <f>SUMIF(Calculator!M151:M160,"Woody Vine",Calculator!F151:F160)/Calculator!F165</f>
        <v>0</v>
      </c>
    </row>
    <row r="37" spans="2:10">
      <c r="G37" s="663" t="s">
        <v>11143</v>
      </c>
      <c r="H37" s="658" t="s">
        <v>11212</v>
      </c>
      <c r="I37" s="659">
        <f>COUNTIF(H11:I36,"&gt;0")</f>
        <v>11</v>
      </c>
      <c r="J37" s="660" t="str">
        <f>IF(I37&lt;7,"Does Not Meet Recommendation","Meets Recommendation")</f>
        <v>Meets Recommendation</v>
      </c>
    </row>
    <row r="38" spans="2:10" ht="14.25">
      <c r="G38" s="844" t="s">
        <v>11153</v>
      </c>
      <c r="H38" s="845"/>
      <c r="I38" s="845"/>
      <c r="J38" s="846"/>
    </row>
    <row r="41" spans="2:10">
      <c r="B41" s="841" t="s">
        <v>11296</v>
      </c>
      <c r="C41" s="842"/>
      <c r="D41" s="842"/>
      <c r="E41" s="842"/>
      <c r="F41" s="842"/>
      <c r="G41" s="842"/>
    </row>
    <row r="42" spans="2:10">
      <c r="B42" s="734" t="s">
        <v>11281</v>
      </c>
      <c r="C42" s="735" t="s">
        <v>11282</v>
      </c>
      <c r="D42" s="735"/>
      <c r="E42" s="735"/>
      <c r="F42" s="736"/>
      <c r="G42" s="737"/>
    </row>
    <row r="43" spans="2:10">
      <c r="B43" s="654" t="s">
        <v>11283</v>
      </c>
      <c r="C43" s="648" t="s">
        <v>11284</v>
      </c>
      <c r="D43" s="648"/>
      <c r="E43" s="648"/>
      <c r="F43" s="648"/>
      <c r="G43" s="648"/>
      <c r="H43" s="458"/>
      <c r="I43" s="458"/>
      <c r="J43" s="458"/>
    </row>
    <row r="44" spans="2:10">
      <c r="B44" s="654" t="s">
        <v>11285</v>
      </c>
      <c r="C44" s="648" t="s">
        <v>11293</v>
      </c>
      <c r="D44" s="655"/>
      <c r="E44" s="656"/>
      <c r="F44" s="648"/>
      <c r="G44" s="648"/>
      <c r="H44" s="644"/>
      <c r="I44" s="644"/>
      <c r="J44" s="458"/>
    </row>
    <row r="45" spans="2:10">
      <c r="B45" s="654" t="s">
        <v>11286</v>
      </c>
      <c r="C45" s="695"/>
      <c r="D45" s="696"/>
      <c r="E45" s="696"/>
      <c r="F45" s="656"/>
      <c r="G45" s="657"/>
      <c r="H45" s="645"/>
      <c r="I45" s="646"/>
      <c r="J45" s="458"/>
    </row>
    <row r="46" spans="2:10">
      <c r="B46" s="649" t="s">
        <v>11287</v>
      </c>
      <c r="C46" s="648" t="s">
        <v>11288</v>
      </c>
      <c r="D46" s="648"/>
      <c r="E46" s="648"/>
      <c r="F46" s="696"/>
      <c r="G46" s="697"/>
      <c r="H46" s="645"/>
      <c r="I46" s="646"/>
      <c r="J46" s="458"/>
    </row>
    <row r="47" spans="2:10">
      <c r="B47" s="649" t="s">
        <v>11289</v>
      </c>
      <c r="C47" s="648" t="s">
        <v>11290</v>
      </c>
      <c r="D47" s="648"/>
      <c r="E47" s="648"/>
      <c r="F47" s="648"/>
      <c r="G47" s="648"/>
      <c r="H47" s="645"/>
      <c r="I47" s="646"/>
      <c r="J47" s="458"/>
    </row>
    <row r="48" spans="2:10">
      <c r="B48" s="650" t="s">
        <v>11291</v>
      </c>
      <c r="C48" s="651" t="s">
        <v>11288</v>
      </c>
      <c r="D48" s="651"/>
      <c r="E48" s="651"/>
      <c r="F48" s="648"/>
      <c r="G48" s="648"/>
      <c r="H48" s="645"/>
      <c r="I48" s="647"/>
      <c r="J48" s="458"/>
    </row>
    <row r="49" spans="8:10">
      <c r="H49" s="433"/>
      <c r="I49" s="433"/>
      <c r="J49" s="458"/>
    </row>
    <row r="50" spans="8:10">
      <c r="H50" s="458"/>
      <c r="I50" s="458"/>
      <c r="J50" s="458"/>
    </row>
    <row r="51" spans="8:10">
      <c r="H51" s="458"/>
      <c r="I51" s="458"/>
      <c r="J51" s="458"/>
    </row>
    <row r="52" spans="8:10">
      <c r="H52" s="458"/>
      <c r="I52" s="458"/>
      <c r="J52" s="458"/>
    </row>
    <row r="53" spans="8:10">
      <c r="H53" s="458"/>
      <c r="I53" s="458"/>
      <c r="J53" s="458"/>
    </row>
    <row r="98" spans="14:14">
      <c r="N98" s="436" t="str">
        <f>Calculator!F160</f>
        <v/>
      </c>
    </row>
  </sheetData>
  <sheetProtection password="9A0B" sheet="1" objects="1" scenarios="1"/>
  <mergeCells count="43">
    <mergeCell ref="B25:E25"/>
    <mergeCell ref="H26:I26"/>
    <mergeCell ref="H27:I27"/>
    <mergeCell ref="P2:Q2"/>
    <mergeCell ref="H16:I16"/>
    <mergeCell ref="H17:I17"/>
    <mergeCell ref="H19:I19"/>
    <mergeCell ref="B2:E2"/>
    <mergeCell ref="B4:E4"/>
    <mergeCell ref="B5:E5"/>
    <mergeCell ref="H22:I22"/>
    <mergeCell ref="H23:I23"/>
    <mergeCell ref="H21:I21"/>
    <mergeCell ref="H24:I24"/>
    <mergeCell ref="H25:I25"/>
    <mergeCell ref="G2:J2"/>
    <mergeCell ref="G4:J4"/>
    <mergeCell ref="G5:J5"/>
    <mergeCell ref="B20:E21"/>
    <mergeCell ref="H18:I18"/>
    <mergeCell ref="H10:I10"/>
    <mergeCell ref="H12:I12"/>
    <mergeCell ref="H13:I13"/>
    <mergeCell ref="H20:I20"/>
    <mergeCell ref="B13:E14"/>
    <mergeCell ref="B15:E16"/>
    <mergeCell ref="G3:H3"/>
    <mergeCell ref="H14:I14"/>
    <mergeCell ref="H15:I15"/>
    <mergeCell ref="H11:I11"/>
    <mergeCell ref="B41:G41"/>
    <mergeCell ref="H35:I35"/>
    <mergeCell ref="H36:I36"/>
    <mergeCell ref="G38:J38"/>
    <mergeCell ref="H30:I30"/>
    <mergeCell ref="H31:I31"/>
    <mergeCell ref="H32:I32"/>
    <mergeCell ref="H33:I33"/>
    <mergeCell ref="H34:I34"/>
    <mergeCell ref="B33:E33"/>
    <mergeCell ref="B29:E29"/>
    <mergeCell ref="H28:I28"/>
    <mergeCell ref="H29:I29"/>
  </mergeCells>
  <conditionalFormatting sqref="E34:E35 E30:E32 E26:E28 E17:E19 J37 E3 J3 J6:J8 E6:E12 E22:E24">
    <cfRule type="containsText" dxfId="7" priority="27" operator="containsText" text="Does Not Meet Criteria">
      <formula>NOT(ISERROR(SEARCH("Does Not Meet Criteria",E3)))</formula>
    </cfRule>
    <cfRule type="containsText" dxfId="6" priority="28" operator="containsText" text="Meets Criteria">
      <formula>NOT(ISERROR(SEARCH("Meets Criteria",E3)))</formula>
    </cfRule>
  </conditionalFormatting>
  <conditionalFormatting sqref="Q2 J43 J49:J65536 H44:H48 J1:J3 J5:J9 J11:J37">
    <cfRule type="containsText" dxfId="5" priority="23" operator="containsText" text="Meets Recommendation">
      <formula>NOT(ISERROR(SEARCH("Meets Recommendation",H1)))</formula>
    </cfRule>
    <cfRule type="containsText" dxfId="4" priority="24" operator="containsText" text="Does Not Meet Recommendation">
      <formula>NOT(ISERROR(SEARCH("Does Not Meet Recommendation",H1)))</formula>
    </cfRule>
  </conditionalFormatting>
  <conditionalFormatting sqref="I45 I47">
    <cfRule type="cellIs" dxfId="3" priority="8" stopIfTrue="1" operator="between">
      <formula>0.15</formula>
      <formula>0.34</formula>
    </cfRule>
  </conditionalFormatting>
  <conditionalFormatting sqref="I46">
    <cfRule type="cellIs" dxfId="2" priority="7" stopIfTrue="1" operator="between">
      <formula>0.45</formula>
      <formula>0.65</formula>
    </cfRule>
  </conditionalFormatting>
  <conditionalFormatting sqref="J9 H9">
    <cfRule type="expression" dxfId="1" priority="35" stopIfTrue="1">
      <formula>LEFT(H9,14)="Meets Criteria"</formula>
    </cfRule>
    <cfRule type="expression" dxfId="0" priority="36" stopIfTrue="1">
      <formula>LEFT(H9,4)="Does"</formula>
    </cfRule>
  </conditionalFormatting>
  <pageMargins left="0.7" right="0.7" top="0.75" bottom="0.75" header="0.3" footer="0.3"/>
  <pageSetup scale="75" fitToHeight="3" orientation="landscape" r:id="rId1"/>
  <headerFooter>
    <oddFooter>&amp;L&amp;"Arial,Bold"&amp;K06-047Iowa Natural Resources Conservation Sercice
&amp;C&amp;"Arial,Bold"&amp;K06-047Native Seed Mix Calculator
643 Restoration and Managment of Rare and Declining Habiats Check Sheet&amp;R&amp;"Arial,Bold"&amp;K06-047Mix Developed &amp;D</oddFooter>
  </headerFooter>
</worksheet>
</file>

<file path=xl/worksheets/sheet2.xml><?xml version="1.0" encoding="utf-8"?>
<worksheet xmlns="http://schemas.openxmlformats.org/spreadsheetml/2006/main" xmlns:r="http://schemas.openxmlformats.org/officeDocument/2006/relationships">
  <sheetPr codeName="Calculator">
    <tabColor rgb="FF92D050"/>
  </sheetPr>
  <dimension ref="A1:Z172"/>
  <sheetViews>
    <sheetView showGridLines="0" tabSelected="1" zoomScaleNormal="100" workbookViewId="0">
      <selection activeCell="E120" sqref="E120"/>
    </sheetView>
  </sheetViews>
  <sheetFormatPr defaultRowHeight="12.75"/>
  <cols>
    <col min="1" max="1" width="3.42578125" customWidth="1"/>
    <col min="2" max="2" width="34.5703125" customWidth="1"/>
    <col min="3" max="3" width="37" customWidth="1"/>
    <col min="4" max="4" width="19.85546875" style="12" hidden="1" customWidth="1"/>
    <col min="5" max="5" width="14.85546875" customWidth="1"/>
    <col min="6" max="6" width="15.28515625" customWidth="1"/>
    <col min="7" max="7" width="12.42578125" customWidth="1"/>
    <col min="8" max="8" width="12.140625" style="2" customWidth="1"/>
    <col min="9" max="9" width="14.85546875" style="2" customWidth="1"/>
    <col min="10" max="10" width="12.28515625" style="2" customWidth="1"/>
    <col min="11" max="11" width="10.28515625" customWidth="1"/>
    <col min="12" max="12" width="11.7109375" customWidth="1"/>
    <col min="13" max="13" width="27.28515625" bestFit="1" customWidth="1"/>
    <col min="14" max="14" width="10.28515625" bestFit="1" customWidth="1"/>
    <col min="21" max="21" width="22.42578125" bestFit="1" customWidth="1"/>
    <col min="22" max="22" width="18" bestFit="1" customWidth="1"/>
    <col min="24" max="24" width="9.140625" style="7"/>
  </cols>
  <sheetData>
    <row r="1" spans="1:26" ht="27.75" customHeight="1" thickBot="1">
      <c r="A1" s="182"/>
      <c r="B1" s="183" t="s">
        <v>1206</v>
      </c>
      <c r="C1" s="184"/>
      <c r="E1" s="16" t="s">
        <v>889</v>
      </c>
      <c r="H1" s="6"/>
    </row>
    <row r="2" spans="1:26" ht="18.75" customHeight="1">
      <c r="A2" s="136">
        <v>1</v>
      </c>
      <c r="C2" s="428">
        <f>VLOOKUP(A2,County_Lookup,3,FALSE)</f>
        <v>0</v>
      </c>
      <c r="E2" s="16" t="s">
        <v>905</v>
      </c>
      <c r="H2" s="6"/>
    </row>
    <row r="3" spans="1:26" ht="5.25" customHeight="1">
      <c r="B3" s="11"/>
      <c r="H3" s="6"/>
    </row>
    <row r="4" spans="1:26" ht="20.25" customHeight="1">
      <c r="A4" s="136">
        <v>0</v>
      </c>
      <c r="B4" s="11"/>
      <c r="H4" s="754" t="s">
        <v>1214</v>
      </c>
    </row>
    <row r="5" spans="1:26" ht="5.25" customHeight="1">
      <c r="A5" s="137"/>
      <c r="B5" s="11"/>
      <c r="D5" s="119"/>
      <c r="H5" s="754"/>
    </row>
    <row r="6" spans="1:26" ht="18.75" customHeight="1">
      <c r="A6" s="136">
        <v>0</v>
      </c>
      <c r="F6" s="8"/>
      <c r="H6" s="754"/>
    </row>
    <row r="7" spans="1:26" ht="6.75" customHeight="1">
      <c r="A7" s="137"/>
      <c r="E7" s="12"/>
      <c r="F7" s="118"/>
      <c r="G7" s="12"/>
      <c r="H7" s="754"/>
    </row>
    <row r="8" spans="1:26" ht="17.25" customHeight="1">
      <c r="A8" s="136">
        <v>0</v>
      </c>
      <c r="E8" s="112" t="s">
        <v>968</v>
      </c>
      <c r="H8" s="754"/>
    </row>
    <row r="9" spans="1:26" ht="7.5" customHeight="1">
      <c r="D9" s="112"/>
      <c r="E9" s="12"/>
      <c r="F9" s="12"/>
      <c r="G9" s="131"/>
      <c r="H9" s="754"/>
    </row>
    <row r="10" spans="1:26" ht="26.25" customHeight="1">
      <c r="B10" s="94" t="str">
        <f>Instructions!A2</f>
        <v>Revised March 23, 2011</v>
      </c>
      <c r="D10" s="225">
        <v>2</v>
      </c>
      <c r="E10" s="12"/>
      <c r="F10" s="12"/>
      <c r="G10" s="131"/>
      <c r="H10" s="754"/>
    </row>
    <row r="11" spans="1:26" ht="7.5" customHeight="1" thickBot="1">
      <c r="D11" s="112"/>
      <c r="E11" s="12"/>
      <c r="F11" s="12"/>
      <c r="G11" s="131"/>
      <c r="H11" s="152"/>
    </row>
    <row r="12" spans="1:26" ht="15.75" customHeight="1" thickBot="1">
      <c r="A12" s="178"/>
      <c r="B12" s="179" t="s">
        <v>884</v>
      </c>
      <c r="C12" s="173"/>
      <c r="D12" s="174">
        <v>1</v>
      </c>
      <c r="E12" s="424"/>
      <c r="F12" s="424"/>
      <c r="G12" s="173"/>
      <c r="H12" s="181"/>
      <c r="I12" s="176"/>
      <c r="J12" s="176"/>
      <c r="K12" s="173"/>
      <c r="L12" s="173"/>
      <c r="M12" s="177"/>
    </row>
    <row r="13" spans="1:26" ht="21.75" customHeight="1">
      <c r="B13" s="193" t="s">
        <v>857</v>
      </c>
      <c r="C13" s="427" t="s">
        <v>885</v>
      </c>
      <c r="D13" s="93"/>
      <c r="E13" s="425" t="s">
        <v>1317</v>
      </c>
      <c r="F13" s="426" t="s">
        <v>1318</v>
      </c>
      <c r="G13" s="768" t="s">
        <v>8</v>
      </c>
      <c r="H13" s="169"/>
      <c r="I13" s="170" t="s">
        <v>888</v>
      </c>
      <c r="J13" s="762" t="s">
        <v>1215</v>
      </c>
      <c r="K13" s="757" t="s">
        <v>1202</v>
      </c>
      <c r="L13" s="171"/>
      <c r="M13" s="180"/>
      <c r="Z13" t="s">
        <v>969</v>
      </c>
    </row>
    <row r="14" spans="1:26" ht="18.75" customHeight="1">
      <c r="B14" s="194"/>
      <c r="C14" s="186" t="s">
        <v>1033</v>
      </c>
      <c r="D14" s="770" t="s">
        <v>1065</v>
      </c>
      <c r="E14" s="771"/>
      <c r="F14" s="772"/>
      <c r="G14" s="769"/>
      <c r="H14" s="128" t="s">
        <v>894</v>
      </c>
      <c r="I14" s="127" t="s">
        <v>896</v>
      </c>
      <c r="J14" s="763"/>
      <c r="K14" s="758"/>
      <c r="L14" s="128" t="s">
        <v>887</v>
      </c>
      <c r="M14" s="488" t="s">
        <v>223</v>
      </c>
    </row>
    <row r="15" spans="1:26" ht="15.75">
      <c r="A15" s="6">
        <v>1</v>
      </c>
      <c r="B15" s="146" t="s">
        <v>119</v>
      </c>
      <c r="C15" s="185" t="str">
        <f>IF(ISERROR(VLOOKUP(B15,Grass_Table,2,FALSE)),"",VLOOKUP(B15,Grass_Table,2,FALSE))</f>
        <v>Andropogon gerardii</v>
      </c>
      <c r="D15" s="354"/>
      <c r="E15" s="355"/>
      <c r="F15" s="359">
        <v>1</v>
      </c>
      <c r="G15" s="134">
        <f>IF(ISNA(VLOOKUP(B15,Grass_Table,31,FALSE)),"",VLOOKUP(B15,Grass_Table,31,FALSE))</f>
        <v>4</v>
      </c>
      <c r="H15" s="138">
        <f>IF(ISNA(VLOOKUP(B15,Grass_Table,25,FALSE)),"",VLOOKUP(B15,Grass_Table,25,FALSE))</f>
        <v>7</v>
      </c>
      <c r="I15" s="195">
        <f>IF(ISNA(VLOOKUP(B15,Grass_Table,28,FALSE)),"",VLOOKUP(B15,Grass_Table,28,FALSE))</f>
        <v>3.6730945821854912</v>
      </c>
      <c r="J15" s="195">
        <f>IF(ISNA(VLOOKUP(B15,Grass_Table,21,FALSE)),"",VLOOKUP(B15,Grass_Table,21,FALSE))</f>
        <v>9.5287500000000005</v>
      </c>
      <c r="K15" s="139">
        <f>IF(D16&gt;0,D16,0)</f>
        <v>2.5000000000000001E-2</v>
      </c>
      <c r="L15" s="141">
        <f>IF(D15="",IF(E15="",IF(F15="",0,F15/I15*H15),E15*H15),E16*H15)</f>
        <v>1.9057499999999998</v>
      </c>
      <c r="M15" s="148" t="str">
        <f>IF(ISERROR(VLOOKUP(B15,Grass_Table,32,FALSE)),"",VLOOKUP(B15,Grass_Table,32,FALSE))</f>
        <v>Perennial Warm Season Grass</v>
      </c>
      <c r="N15" s="103"/>
      <c r="X15" s="7" t="s">
        <v>902</v>
      </c>
      <c r="Z15" t="s">
        <v>174</v>
      </c>
    </row>
    <row r="16" spans="1:26" ht="15.75">
      <c r="A16" s="6"/>
      <c r="B16" s="698" t="str">
        <f>B15</f>
        <v>Big Bluestem</v>
      </c>
      <c r="C16" s="149" t="str">
        <f>IF(ISNA(VLOOKUP(B15,Grass_Table,30,FALSE)),"",VLOOKUP(B15,Grass_Table,30,FALSE))</f>
        <v>Bunch</v>
      </c>
      <c r="D16" s="356">
        <f>IF(E15="",IF(F15="","",F15/$F$165),F16/$F$165)</f>
        <v>2.5000000000000001E-2</v>
      </c>
      <c r="E16" s="357">
        <f>IF(D15="",IF(F15="","",F15/I15),J15*D15)</f>
        <v>0.27224999999999999</v>
      </c>
      <c r="F16" s="357" t="str">
        <f>IF(D15="",IF(E15="","",E15*I15),E16*I15)</f>
        <v/>
      </c>
      <c r="G16" s="703">
        <f>G15</f>
        <v>4</v>
      </c>
      <c r="H16" s="130"/>
      <c r="I16" s="706" t="str">
        <f>IF(J15="Plugs Only","CANNOT USE CALCULATOR FOR SEEDING RATE -- USE PLUGS ONLY","")</f>
        <v/>
      </c>
      <c r="J16" s="707"/>
      <c r="K16" s="707"/>
      <c r="L16" s="708"/>
      <c r="M16" s="700" t="str">
        <f>M15</f>
        <v>Perennial Warm Season Grass</v>
      </c>
      <c r="N16" s="103"/>
    </row>
    <row r="17" spans="1:26" ht="15.75">
      <c r="A17" s="6">
        <v>2</v>
      </c>
      <c r="B17" s="146" t="s">
        <v>127</v>
      </c>
      <c r="C17" s="147" t="str">
        <f>IF(ISERROR(VLOOKUP(B17,Grass_Table,2,FALSE)),"",VLOOKUP(B17,Grass_Table,2,FALSE))</f>
        <v>Calamagrostis canadensis</v>
      </c>
      <c r="D17" s="354"/>
      <c r="E17" s="355"/>
      <c r="F17" s="359">
        <v>1.7</v>
      </c>
      <c r="G17" s="134">
        <f>IF(ISNA(VLOOKUP(B17,Grass_Table,31,FALSE)),"",VLOOKUP(B17,Grass_Table,31,FALSE))</f>
        <v>5</v>
      </c>
      <c r="H17" s="138">
        <f>IF(ISNA(VLOOKUP(B17,Grass_Table,25,FALSE)),"",VLOOKUP(B17,Grass_Table,25,FALSE))</f>
        <v>375</v>
      </c>
      <c r="I17" s="196">
        <f>IF(ISNA(VLOOKUP(B17,Grass_Table,28,FALSE)),"",VLOOKUP(B17,Grass_Table,28,FALSE))</f>
        <v>102.84664830119375</v>
      </c>
      <c r="J17" s="196">
        <f>IF(ISNA(VLOOKUP(B17,Grass_Table,21,FALSE)),"",VLOOKUP(B17,Grass_Table,21,FALSE))</f>
        <v>0.34031250000000002</v>
      </c>
      <c r="K17" s="139">
        <f>IF(D18&gt;0,D18,0)</f>
        <v>4.2499999999999996E-2</v>
      </c>
      <c r="L17" s="142">
        <f>IF(D17="",IF(E17="",IF(F17="",0,F17/I17*H17),E17*H17),E18*H17)</f>
        <v>6.1985491071428571</v>
      </c>
      <c r="M17" s="148" t="str">
        <f>IF(ISERROR(VLOOKUP(B17,Grass_Table,32,FALSE)),"",VLOOKUP(B17,Grass_Table,32,FALSE))</f>
        <v>Perennial Cool Season Grass</v>
      </c>
      <c r="N17" s="103"/>
      <c r="X17" s="7" t="s">
        <v>902</v>
      </c>
      <c r="Z17" t="s">
        <v>122</v>
      </c>
    </row>
    <row r="18" spans="1:26" ht="15.75">
      <c r="A18" s="6"/>
      <c r="B18" s="698" t="str">
        <f>B17</f>
        <v>Bluejoint</v>
      </c>
      <c r="C18" s="149" t="str">
        <f>IF(ISERROR(VLOOKUP(B17,Grass_Table,30,FALSE)),"",VLOOKUP(B17,Grass_Table,30,FALSE))</f>
        <v>Rhizomatous</v>
      </c>
      <c r="D18" s="356">
        <f>IF(E17="",IF(F17="","",F17/$F$165),F18/$F$165)</f>
        <v>4.2499999999999996E-2</v>
      </c>
      <c r="E18" s="357">
        <f>IF(D17="",IF(F17="","",F17/I17),J17*D17)</f>
        <v>1.6529464285714286E-2</v>
      </c>
      <c r="F18" s="357" t="str">
        <f>IF(D17="",IF(E17="","",E17*I17),E18*I17)</f>
        <v/>
      </c>
      <c r="G18" s="704">
        <f>G17</f>
        <v>5</v>
      </c>
      <c r="H18" s="130"/>
      <c r="I18" s="706" t="str">
        <f>IF(J17="Plugs Only","CANNOT USE CALCULATOR FOR SEEDING RATE -- USE PLUGS ONLY","")</f>
        <v/>
      </c>
      <c r="J18" s="707"/>
      <c r="K18" s="707"/>
      <c r="L18" s="708"/>
      <c r="M18" s="700" t="str">
        <f>M17</f>
        <v>Perennial Cool Season Grass</v>
      </c>
      <c r="N18" s="103"/>
    </row>
    <row r="19" spans="1:26" ht="15.75">
      <c r="A19" s="6">
        <v>3</v>
      </c>
      <c r="B19" s="146" t="s">
        <v>277</v>
      </c>
      <c r="C19" s="147" t="str">
        <f>IF(ISERROR(VLOOKUP(B19,Grass_Table,2,FALSE)),"",VLOOKUP(B19,Grass_Table,2,FALSE))</f>
        <v>Carex bebbii</v>
      </c>
      <c r="D19" s="354"/>
      <c r="E19" s="355"/>
      <c r="F19" s="359">
        <v>1.7</v>
      </c>
      <c r="G19" s="134">
        <f>IF(ISNA(VLOOKUP(B19,Grass_Table,31,FALSE)),"",VLOOKUP(B19,Grass_Table,31,FALSE))</f>
        <v>8</v>
      </c>
      <c r="H19" s="138">
        <f>IF(ISNA(VLOOKUP(B19,Grass_Table,25,FALSE)),"",VLOOKUP(B19,Grass_Table,25,FALSE))</f>
        <v>75</v>
      </c>
      <c r="I19" s="101">
        <f>IF(ISNA(VLOOKUP(B19,Grass_Table,28,FALSE)),"",VLOOKUP(B19,Grass_Table,28,FALSE))</f>
        <v>12.488521579430671</v>
      </c>
      <c r="J19" s="101">
        <f>IF(ISNA(VLOOKUP(B19,Grass_Table,21,FALSE)),"",VLOOKUP(B19,Grass_Table,21,FALSE))</f>
        <v>2.8025735294117644</v>
      </c>
      <c r="K19" s="140">
        <f>IF(D20&gt;0,D20,0)</f>
        <v>4.2499999999999996E-2</v>
      </c>
      <c r="L19" s="143">
        <f>IF(D19="",IF(E19="",IF(F19="",0,F19/I19*H19),E19*H19),E20*H19)</f>
        <v>10.209375</v>
      </c>
      <c r="M19" s="148" t="str">
        <f>IF(ISERROR(VLOOKUP(B19,Grass_Table,32,FALSE)),"",VLOOKUP(B19,Grass_Table,32,FALSE))</f>
        <v>Perennial Cool Season Sedge</v>
      </c>
      <c r="N19" s="103"/>
      <c r="X19" s="7" t="s">
        <v>902</v>
      </c>
    </row>
    <row r="20" spans="1:26" ht="15.75">
      <c r="A20" s="6"/>
      <c r="B20" s="698" t="str">
        <f>B19</f>
        <v>Bebb's Sedge</v>
      </c>
      <c r="C20" s="149" t="str">
        <f>IF(ISERROR(VLOOKUP(B19,Grass_Table,30,FALSE)),"",VLOOKUP(B19,Grass_Table,30,FALSE))</f>
        <v>Bunch</v>
      </c>
      <c r="D20" s="356">
        <f>IF(E19="",IF(F19="","",F19/$F$165),F20/$F$165)</f>
        <v>4.2499999999999996E-2</v>
      </c>
      <c r="E20" s="357">
        <f>IF(D19="",IF(F19="","",F19/I19),J19*D19)</f>
        <v>0.136125</v>
      </c>
      <c r="F20" s="357" t="str">
        <f>IF(D19="",IF(E19="","",E19*I19),E20*I19)</f>
        <v/>
      </c>
      <c r="G20" s="704">
        <f>G19</f>
        <v>8</v>
      </c>
      <c r="H20" s="130"/>
      <c r="I20" s="706" t="str">
        <f>IF(J19="Plugs Only","CANNOT USE CALCULATOR FOR SEEDING RATE -- USE PLUGS ONLY","")</f>
        <v/>
      </c>
      <c r="J20" s="707"/>
      <c r="K20" s="707"/>
      <c r="L20" s="708"/>
      <c r="M20" s="700" t="str">
        <f>M19</f>
        <v>Perennial Cool Season Sedge</v>
      </c>
      <c r="N20" s="103"/>
    </row>
    <row r="21" spans="1:26" ht="15.75">
      <c r="A21" s="6">
        <v>4</v>
      </c>
      <c r="B21" s="146" t="s">
        <v>278</v>
      </c>
      <c r="C21" s="147" t="str">
        <f>IF(ISERROR(VLOOKUP(B21,Grass_Table,2,FALSE)),"",VLOOKUP(B21,Grass_Table,2,FALSE))</f>
        <v>Carex bicknellii</v>
      </c>
      <c r="D21" s="354"/>
      <c r="E21" s="355"/>
      <c r="F21" s="359">
        <v>1</v>
      </c>
      <c r="G21" s="134">
        <f>IF(ISNA(VLOOKUP(B21,Grass_Table,31,FALSE)),"",VLOOKUP(B21,Grass_Table,31,FALSE))</f>
        <v>10</v>
      </c>
      <c r="H21" s="138">
        <f>IF(ISNA(VLOOKUP(B21,Grass_Table,25,FALSE)),"",VLOOKUP(B21,Grass_Table,25,FALSE))</f>
        <v>150</v>
      </c>
      <c r="I21" s="101">
        <f>IF(ISNA(VLOOKUP(B21,Grass_Table,28,FALSE)),"",VLOOKUP(B21,Grass_Table,28,FALSE))</f>
        <v>6.2442607897153355</v>
      </c>
      <c r="J21" s="101">
        <f>IF(ISNA(VLOOKUP(B21,Grass_Table,21,FALSE)),"",VLOOKUP(B21,Grass_Table,21,FALSE))</f>
        <v>5.6051470588235288</v>
      </c>
      <c r="K21" s="140">
        <f>IF(D22&gt;0,D22,0)</f>
        <v>2.5000000000000001E-2</v>
      </c>
      <c r="L21" s="143">
        <f>IF(D21="",IF(E21="",IF(F21="",0,F21/I21*H21),E21*H21),E22*H21)</f>
        <v>24.022058823529409</v>
      </c>
      <c r="M21" s="148" t="str">
        <f>IF(ISERROR(VLOOKUP(B21,Grass_Table,32,FALSE)),"",VLOOKUP(B21,Grass_Table,32,FALSE))</f>
        <v>Perennial Cool Season Sedge</v>
      </c>
      <c r="N21" s="103"/>
      <c r="X21" s="7" t="s">
        <v>902</v>
      </c>
    </row>
    <row r="22" spans="1:26" ht="15.75">
      <c r="A22" s="6"/>
      <c r="B22" s="698" t="str">
        <f>B21</f>
        <v>Bicknell's Sedge</v>
      </c>
      <c r="C22" s="149" t="str">
        <f>IF(ISERROR(VLOOKUP(B21,Grass_Table,30,FALSE)),"",VLOOKUP(B21,Grass_Table,30,FALSE))</f>
        <v>Bunch</v>
      </c>
      <c r="D22" s="356">
        <f>IF(E21="",IF(F21="","",F21/$F$165),F22/$F$165)</f>
        <v>2.5000000000000001E-2</v>
      </c>
      <c r="E22" s="357">
        <f>IF(D21="",IF(F21="","",F21/I21),J21*D21)</f>
        <v>0.16014705882352939</v>
      </c>
      <c r="F22" s="357" t="str">
        <f>IF(D21="",IF(E21="","",E21*I21),E22*I21)</f>
        <v/>
      </c>
      <c r="G22" s="704">
        <f>G21</f>
        <v>10</v>
      </c>
      <c r="H22" s="130"/>
      <c r="I22" s="706" t="str">
        <f>IF(J21="Plugs Only","CANNOT USE CALCULATOR FOR SEEDING RATE -- USE PLUGS ONLY","")</f>
        <v/>
      </c>
      <c r="J22" s="707"/>
      <c r="K22" s="707"/>
      <c r="L22" s="708"/>
      <c r="M22" s="700" t="str">
        <f>M21</f>
        <v>Perennial Cool Season Sedge</v>
      </c>
      <c r="N22" s="103"/>
    </row>
    <row r="23" spans="1:26" ht="15.75">
      <c r="A23" s="6">
        <v>5</v>
      </c>
      <c r="B23" s="146" t="s">
        <v>150</v>
      </c>
      <c r="C23" s="147" t="str">
        <f>IF(ISERROR(VLOOKUP(B23,Grass_Table,2,FALSE)),"",VLOOKUP(B23,Grass_Table,2,FALSE))</f>
        <v>Carex lupulina</v>
      </c>
      <c r="D23" s="354"/>
      <c r="E23" s="355"/>
      <c r="F23" s="359">
        <v>0.1</v>
      </c>
      <c r="G23" s="134">
        <f>IF(ISNA(VLOOKUP(B23,Grass_Table,31,FALSE)),"",VLOOKUP(B23,Grass_Table,31,FALSE))</f>
        <v>6</v>
      </c>
      <c r="H23" s="138">
        <f>IF(ISNA(VLOOKUP(B23,Grass_Table,25,FALSE)),"",VLOOKUP(B23,Grass_Table,25,FALSE))</f>
        <v>480</v>
      </c>
      <c r="I23" s="101">
        <f>IF(ISNA(VLOOKUP(B23,Grass_Table,28,FALSE)),"",VLOOKUP(B23,Grass_Table,28,FALSE))</f>
        <v>1.2121212121212122</v>
      </c>
      <c r="J23" s="101">
        <f>IF(ISNA(VLOOKUP(B23,Grass_Table,21,FALSE)),"",VLOOKUP(B23,Grass_Table,21,FALSE))</f>
        <v>28.875</v>
      </c>
      <c r="K23" s="140">
        <f>IF(D24&gt;0,D24,0)</f>
        <v>2.5000000000000001E-3</v>
      </c>
      <c r="L23" s="143">
        <f>IF(D23="",IF(E23="",IF(F23="",0,F23/I23*H23),E23*H23),E24*H23)</f>
        <v>39.6</v>
      </c>
      <c r="M23" s="148" t="str">
        <f>IF(ISERROR(VLOOKUP(B23,Grass_Table,32,FALSE)),"",VLOOKUP(B23,Grass_Table,32,FALSE))</f>
        <v>Perennial Cool Season Sedge</v>
      </c>
      <c r="N23" s="103"/>
      <c r="X23" s="7" t="s">
        <v>902</v>
      </c>
    </row>
    <row r="24" spans="1:26" ht="15.75">
      <c r="A24" s="6"/>
      <c r="B24" s="698" t="str">
        <f>B23</f>
        <v>Hop Sedge</v>
      </c>
      <c r="C24" s="149" t="str">
        <f>IF(ISERROR(VLOOKUP(B23,Grass_Table,30,FALSE)),"",VLOOKUP(B23,Grass_Table,30,FALSE))</f>
        <v>Bunch</v>
      </c>
      <c r="D24" s="356">
        <f>IF(E23="",IF(F23="","",F23/$F$165),F24/$F$165)</f>
        <v>2.5000000000000001E-3</v>
      </c>
      <c r="E24" s="357">
        <f>IF(D23="",IF(F23="","",F23/I23),J23*D23)</f>
        <v>8.2500000000000004E-2</v>
      </c>
      <c r="F24" s="357" t="str">
        <f>IF(D23="",IF(E23="","",E23*I23),E24*I23)</f>
        <v/>
      </c>
      <c r="G24" s="704">
        <f>G23</f>
        <v>6</v>
      </c>
      <c r="H24" s="130"/>
      <c r="I24" s="706" t="str">
        <f>IF(J23="Plugs Only","CANNOT USE CALCULATOR FOR SEEDING RATE -- USE PLUGS ONLY","")</f>
        <v/>
      </c>
      <c r="J24" s="707"/>
      <c r="K24" s="707"/>
      <c r="L24" s="708"/>
      <c r="M24" s="700" t="str">
        <f>M23</f>
        <v>Perennial Cool Season Sedge</v>
      </c>
      <c r="N24" s="103"/>
    </row>
    <row r="25" spans="1:26" ht="15.75">
      <c r="A25" s="6">
        <v>6</v>
      </c>
      <c r="B25" s="146" t="s">
        <v>1070</v>
      </c>
      <c r="C25" s="147" t="str">
        <f>IF(ISERROR(VLOOKUP(B25,Grass_Table,2,FALSE)),"",VLOOKUP(B25,Grass_Table,2,FALSE))</f>
        <v>Carex vulpinoidea</v>
      </c>
      <c r="D25" s="354"/>
      <c r="E25" s="355"/>
      <c r="F25" s="359">
        <v>1.5</v>
      </c>
      <c r="G25" s="134">
        <f>IF(ISNA(VLOOKUP(B25,Grass_Table,31,FALSE)),"",VLOOKUP(B25,Grass_Table,31,FALSE))</f>
        <v>3</v>
      </c>
      <c r="H25" s="138">
        <f>IF(ISNA(VLOOKUP(B25,Grass_Table,25,FALSE)),"",VLOOKUP(B25,Grass_Table,25,FALSE))</f>
        <v>120</v>
      </c>
      <c r="I25" s="101">
        <f>IF(ISNA(VLOOKUP(B25,Grass_Table,28,FALSE)),"",VLOOKUP(B25,Grass_Table,28,FALSE))</f>
        <v>36.73094582185491</v>
      </c>
      <c r="J25" s="101">
        <f>IF(ISNA(VLOOKUP(B25,Grass_Table,21,FALSE)),"",VLOOKUP(B25,Grass_Table,21,FALSE))</f>
        <v>0.95287500000000003</v>
      </c>
      <c r="K25" s="140">
        <f>IF(D26&gt;0,D26,0)</f>
        <v>3.7499999999999999E-2</v>
      </c>
      <c r="L25" s="143">
        <f>IF(D25="",IF(E25="",IF(F25="",0,F25/I25*H25),E25*H25),E26*H25)</f>
        <v>4.900500000000001</v>
      </c>
      <c r="M25" s="148" t="str">
        <f>IF(ISERROR(VLOOKUP(B25,Grass_Table,32,FALSE)),"",VLOOKUP(B25,Grass_Table,32,FALSE))</f>
        <v>Perennial Cool Season Sedge</v>
      </c>
      <c r="N25" s="103"/>
      <c r="X25" s="7" t="s">
        <v>902</v>
      </c>
    </row>
    <row r="26" spans="1:26" ht="15.75">
      <c r="A26" s="6"/>
      <c r="B26" s="698" t="str">
        <f>B25</f>
        <v>Fox Sedge</v>
      </c>
      <c r="C26" s="149" t="str">
        <f>IF(ISERROR(VLOOKUP(B25,Grass_Table,30,FALSE)),"",VLOOKUP(B25,Grass_Table,30,FALSE))</f>
        <v>Bunch</v>
      </c>
      <c r="D26" s="356">
        <f>IF(E25="",IF(F25="","",F25/$F$165),F26/$F$165)</f>
        <v>3.7499999999999999E-2</v>
      </c>
      <c r="E26" s="357">
        <f>IF(D25="",IF(F25="","",F25/I25),J25*D25)</f>
        <v>4.0837500000000006E-2</v>
      </c>
      <c r="F26" s="357" t="str">
        <f>IF(D25="",IF(E25="","",E25*I25),E26*I25)</f>
        <v/>
      </c>
      <c r="G26" s="704">
        <f>G25</f>
        <v>3</v>
      </c>
      <c r="H26" s="130"/>
      <c r="I26" s="706" t="str">
        <f>IF(J25="Plugs Only","CANNOT USE CALCULATOR FOR SEEDING RATE -- USE PLUGS ONLY","")</f>
        <v/>
      </c>
      <c r="J26" s="707"/>
      <c r="K26" s="707"/>
      <c r="L26" s="708"/>
      <c r="M26" s="700" t="str">
        <f>M25</f>
        <v>Perennial Cool Season Sedge</v>
      </c>
      <c r="N26" s="103"/>
    </row>
    <row r="27" spans="1:26" ht="15.75">
      <c r="A27" s="6">
        <v>7</v>
      </c>
      <c r="B27" s="146" t="s">
        <v>177</v>
      </c>
      <c r="C27" s="147" t="str">
        <f>IF(ISERROR(VLOOKUP(B27,Grass_Table,2,FALSE)),"",VLOOKUP(B27,Grass_Table,2,FALSE))</f>
        <v xml:space="preserve">Eleocharis obtusa </v>
      </c>
      <c r="D27" s="354"/>
      <c r="E27" s="355"/>
      <c r="F27" s="359">
        <v>1.5</v>
      </c>
      <c r="G27" s="134">
        <f>IF(ISNA(VLOOKUP(B27,Grass_Table,31,FALSE)),"",VLOOKUP(B27,Grass_Table,31,FALSE))</f>
        <v>3</v>
      </c>
      <c r="H27" s="138">
        <f>IF(ISNA(VLOOKUP(B27,Grass_Table,25,FALSE)),"",VLOOKUP(B27,Grass_Table,25,FALSE))</f>
        <v>480</v>
      </c>
      <c r="I27" s="101">
        <f>IF(ISNA(VLOOKUP(B27,Grass_Table,28,FALSE)),"",VLOOKUP(B27,Grass_Table,28,FALSE))</f>
        <v>36.73094582185491</v>
      </c>
      <c r="J27" s="101">
        <f>IF(ISNA(VLOOKUP(B27,Grass_Table,21,FALSE)),"",VLOOKUP(B27,Grass_Table,21,FALSE))</f>
        <v>0.95287500000000003</v>
      </c>
      <c r="K27" s="140">
        <f>IF(D28&gt;0,D28,0)</f>
        <v>3.7499999999999999E-2</v>
      </c>
      <c r="L27" s="143">
        <f>IF(D27="",IF(E27="",IF(F27="",0,F27/I27*H27),E27*H27),E28*H27)</f>
        <v>19.602000000000004</v>
      </c>
      <c r="M27" s="148" t="str">
        <f>IF(ISERROR(VLOOKUP(B27,Grass_Table,32,FALSE)),"",VLOOKUP(B27,Grass_Table,32,FALSE))</f>
        <v>Annual Cool Season Sedge</v>
      </c>
      <c r="N27" s="103"/>
      <c r="X27" s="7" t="s">
        <v>902</v>
      </c>
    </row>
    <row r="28" spans="1:26">
      <c r="A28" s="6"/>
      <c r="B28" s="698" t="str">
        <f>B27</f>
        <v>Blunt Spikerush</v>
      </c>
      <c r="C28" s="149" t="str">
        <f>IF(ISERROR(VLOOKUP(B27,Grass_Table,30,FALSE)),"",VLOOKUP(B27,Grass_Table,30,FALSE))</f>
        <v>Rhizomatous</v>
      </c>
      <c r="D28" s="356">
        <f>IF(E27="",IF(F27="","",F27/$F$165),F28/$F$165)</f>
        <v>3.7499999999999999E-2</v>
      </c>
      <c r="E28" s="357">
        <f>IF(D27="",IF(F27="","",F27/I27),J27*D27)</f>
        <v>4.0837500000000006E-2</v>
      </c>
      <c r="F28" s="357" t="str">
        <f>IF(D27="",IF(E27="","",E27*I27),E28*I27)</f>
        <v/>
      </c>
      <c r="G28" s="704">
        <f>G27</f>
        <v>3</v>
      </c>
      <c r="H28" s="130"/>
      <c r="I28" s="706" t="str">
        <f>IF(J27="Plugs Only","CANNOT USE CALCULATOR FOR SEEDING RATE -- USE PLUGS ONLY","")</f>
        <v/>
      </c>
      <c r="J28" s="707"/>
      <c r="K28" s="707"/>
      <c r="L28" s="708"/>
      <c r="M28" s="700" t="str">
        <f>M27</f>
        <v>Annual Cool Season Sedge</v>
      </c>
    </row>
    <row r="29" spans="1:26">
      <c r="A29" s="6">
        <v>8</v>
      </c>
      <c r="B29" s="146" t="s">
        <v>179</v>
      </c>
      <c r="C29" s="147" t="str">
        <f>IF(ISERROR(VLOOKUP(B29,Grass_Table,2,FALSE)),"",VLOOKUP(B29,Grass_Table,2,FALSE))</f>
        <v>Elymus canadensis</v>
      </c>
      <c r="D29" s="354"/>
      <c r="E29" s="355"/>
      <c r="F29" s="359">
        <v>1.7</v>
      </c>
      <c r="G29" s="134">
        <f>IF(ISNA(VLOOKUP(B29,Grass_Table,31,FALSE)),"",VLOOKUP(B29,Grass_Table,31,FALSE))</f>
        <v>5</v>
      </c>
      <c r="H29" s="138">
        <f>IF(ISNA(VLOOKUP(B29,Grass_Table,25,FALSE)),"",VLOOKUP(B29,Grass_Table,25,FALSE))</f>
        <v>2</v>
      </c>
      <c r="I29" s="101">
        <f>IF(ISNA(VLOOKUP(B29,Grass_Table,28,FALSE)),"",VLOOKUP(B29,Grass_Table,28,FALSE))</f>
        <v>1.9100091827364554</v>
      </c>
      <c r="J29" s="101">
        <f>IF(ISNA(VLOOKUP(B29,Grass_Table,21,FALSE)),"",VLOOKUP(B29,Grass_Table,21,FALSE))</f>
        <v>18.32451923076923</v>
      </c>
      <c r="K29" s="140">
        <f>IF(D30&gt;0,D30,0)</f>
        <v>4.2499999999999996E-2</v>
      </c>
      <c r="L29" s="143">
        <f>IF(D29="",IF(E29="",IF(F29="",0,F29/I29*H29),E29*H29),E30*H29)</f>
        <v>1.7800961538461539</v>
      </c>
      <c r="M29" s="148" t="str">
        <f>IF(ISERROR(VLOOKUP(B29,Grass_Table,32,FALSE)),"",VLOOKUP(B29,Grass_Table,32,FALSE))</f>
        <v>Perennial Cool Season Grass</v>
      </c>
      <c r="X29" s="7" t="s">
        <v>902</v>
      </c>
    </row>
    <row r="30" spans="1:26">
      <c r="A30" s="6"/>
      <c r="B30" s="698" t="str">
        <f>B29</f>
        <v>Canada Wildrye</v>
      </c>
      <c r="C30" s="149" t="str">
        <f>IF(ISERROR(VLOOKUP(B29,Grass_Table,30,FALSE)),"",VLOOKUP(B29,Grass_Table,30,FALSE))</f>
        <v>Bunch</v>
      </c>
      <c r="D30" s="356">
        <f>IF(E29="",IF(F29="","",F29/$F$165),F30/$F$165)</f>
        <v>4.2499999999999996E-2</v>
      </c>
      <c r="E30" s="358">
        <f>IF(D29="",IF(F29="","",F29/I29),J29*D29)</f>
        <v>0.89004807692307697</v>
      </c>
      <c r="F30" s="358" t="str">
        <f>IF(D29="",IF(E29="","",E29*I29),E30*I29)</f>
        <v/>
      </c>
      <c r="G30" s="704">
        <f>G29</f>
        <v>5</v>
      </c>
      <c r="H30" s="130"/>
      <c r="I30" s="706" t="str">
        <f>IF(J29="Plugs Only","CANNOT USE CALCULATOR FOR SEEDING RATE -- USE PLUGS ONLY","")</f>
        <v/>
      </c>
      <c r="J30" s="707"/>
      <c r="K30" s="707"/>
      <c r="L30" s="708"/>
      <c r="M30" s="700" t="str">
        <f>M29</f>
        <v>Perennial Cool Season Grass</v>
      </c>
    </row>
    <row r="31" spans="1:26">
      <c r="A31" s="6">
        <v>9</v>
      </c>
      <c r="B31" s="146" t="s">
        <v>11183</v>
      </c>
      <c r="C31" s="147" t="str">
        <f>IF(ISERROR(VLOOKUP(B31,Grass_Table,2,FALSE)),"",VLOOKUP(B31,Grass_Table,2,FALSE))</f>
        <v>Glyceria septentrionalis</v>
      </c>
      <c r="D31" s="354"/>
      <c r="E31" s="355"/>
      <c r="F31" s="359">
        <v>1.7</v>
      </c>
      <c r="G31" s="134">
        <f>IF(ISNA(VLOOKUP(B31,Grass_Table,31,FALSE)),"",VLOOKUP(B31,Grass_Table,31,FALSE))</f>
        <v>8</v>
      </c>
      <c r="H31" s="138">
        <f>IF(ISNA(VLOOKUP(B31,Grass_Table,25,FALSE)),"",VLOOKUP(B31,Grass_Table,25,FALSE))</f>
        <v>1280</v>
      </c>
      <c r="I31" s="101">
        <f>IF(ISNA(VLOOKUP(B31,Grass_Table,28,FALSE)),"",VLOOKUP(B31,Grass_Table,28,FALSE))</f>
        <v>16.161616161616163</v>
      </c>
      <c r="J31" s="101">
        <f>IF(ISNA(VLOOKUP(B31,Grass_Table,21,FALSE)),"",VLOOKUP(B31,Grass_Table,21,FALSE))</f>
        <v>2.1656249999999999</v>
      </c>
      <c r="K31" s="140">
        <f>IF(D32&gt;0,D32,0)</f>
        <v>4.2499999999999996E-2</v>
      </c>
      <c r="L31" s="143">
        <f>IF(D31="",IF(E31="",IF(F31="",0,F31/I31*H31),E31*H31),E32*H31)</f>
        <v>134.63999999999999</v>
      </c>
      <c r="M31" s="148" t="str">
        <f>IF(ISERROR(VLOOKUP(B31,Grass_Table,32,FALSE)),"",VLOOKUP(B31,Grass_Table,32,FALSE))</f>
        <v>Perennial Cool Season Grass</v>
      </c>
      <c r="X31" s="7" t="s">
        <v>902</v>
      </c>
    </row>
    <row r="32" spans="1:26">
      <c r="A32" s="6"/>
      <c r="B32" s="698" t="str">
        <f>B31</f>
        <v>Floating Mannagrass</v>
      </c>
      <c r="C32" s="149">
        <f>IF(ISERROR(VLOOKUP(B31,Grass_Table,30,FALSE)),"",VLOOKUP(B31,Grass_Table,30,FALSE))</f>
        <v>0</v>
      </c>
      <c r="D32" s="356">
        <f>IF(E31="",IF(F31="","",F31/$F$165),F32/$F$165)</f>
        <v>4.2499999999999996E-2</v>
      </c>
      <c r="E32" s="357">
        <f>IF(D31="",IF(F31="","",F31/I31),J31*D31)</f>
        <v>0.10518749999999999</v>
      </c>
      <c r="F32" s="357" t="str">
        <f>IF(D31="",IF(E31="","",E31*I31),E32*I31)</f>
        <v/>
      </c>
      <c r="G32" s="704">
        <f>G31</f>
        <v>8</v>
      </c>
      <c r="H32" s="130"/>
      <c r="I32" s="706" t="str">
        <f>IF(J31="Plugs Only","CANNOT USE CALCULATOR FOR SEEDING RATE -- USE PLUGS ONLY","")</f>
        <v/>
      </c>
      <c r="J32" s="707"/>
      <c r="K32" s="707"/>
      <c r="L32" s="708"/>
      <c r="M32" s="700" t="str">
        <f>M31</f>
        <v>Perennial Cool Season Grass</v>
      </c>
    </row>
    <row r="33" spans="1:24">
      <c r="A33" s="6">
        <v>10</v>
      </c>
      <c r="B33" s="146" t="s">
        <v>144</v>
      </c>
      <c r="C33" s="147" t="str">
        <f>IF(ISERROR(VLOOKUP(B33,Grass_Table,2,FALSE)),"",VLOOKUP(B33,Grass_Table,2,FALSE))</f>
        <v>Carex interior</v>
      </c>
      <c r="D33" s="354"/>
      <c r="E33" s="355"/>
      <c r="F33" s="359">
        <v>1.7</v>
      </c>
      <c r="G33" s="134">
        <f>IF(ISNA(VLOOKUP(B33,Grass_Table,31,FALSE)),"",VLOOKUP(B33,Grass_Table,31,FALSE))</f>
        <v>7</v>
      </c>
      <c r="H33" s="138">
        <f>IF(ISNA(VLOOKUP(B33,Grass_Table,25,FALSE)),"",VLOOKUP(B33,Grass_Table,25,FALSE))</f>
        <v>1440</v>
      </c>
      <c r="I33" s="101">
        <f>IF(ISNA(VLOOKUP(B33,Grass_Table,28,FALSE)),"",VLOOKUP(B33,Grass_Table,28,FALSE))</f>
        <v>14.325068870523417</v>
      </c>
      <c r="J33" s="101">
        <f>IF(ISNA(VLOOKUP(B33,Grass_Table,21,FALSE)),"",VLOOKUP(B33,Grass_Table,21,FALSE))</f>
        <v>2.4432692307692307</v>
      </c>
      <c r="K33" s="140">
        <f>IF(D34&gt;0,D34,0)</f>
        <v>4.2499999999999996E-2</v>
      </c>
      <c r="L33" s="143">
        <f>IF(D33="",IF(E33="",IF(F33="",0,F33/I33*H33),E33*H33),E34*H33)</f>
        <v>170.88923076923075</v>
      </c>
      <c r="M33" s="148" t="str">
        <f>IF(ISERROR(VLOOKUP(B33,Grass_Table,32,FALSE)),"",VLOOKUP(B33,Grass_Table,32,FALSE))</f>
        <v>Perennial Cool Season Sedge</v>
      </c>
      <c r="X33" s="7" t="s">
        <v>902</v>
      </c>
    </row>
    <row r="34" spans="1:24">
      <c r="A34" s="6"/>
      <c r="B34" s="698" t="str">
        <f>B33</f>
        <v>Inland Sedge</v>
      </c>
      <c r="C34" s="149" t="str">
        <f>IF(ISERROR(VLOOKUP(B33,Grass_Table,30,FALSE)),"",VLOOKUP(B33,Grass_Table,30,FALSE))</f>
        <v>Bunch</v>
      </c>
      <c r="D34" s="356">
        <f>IF(E33="",IF(F33="","",F33/$F$165),F34/$F$165)</f>
        <v>4.2499999999999996E-2</v>
      </c>
      <c r="E34" s="357">
        <f>IF(D33="",IF(F33="","",F33/I33),J33*D33)</f>
        <v>0.11867307692307691</v>
      </c>
      <c r="F34" s="357" t="str">
        <f>IF(D33="",IF(E33="","",E33*I33),E34*I33)</f>
        <v/>
      </c>
      <c r="G34" s="704">
        <f>G33</f>
        <v>7</v>
      </c>
      <c r="H34" s="130"/>
      <c r="I34" s="709" t="str">
        <f>IF(J33="Plugs Only","CANNOT USE CALCULATOR FOR SEEDING RATE -- USE PLUGS ONLY","")</f>
        <v/>
      </c>
      <c r="J34" s="710"/>
      <c r="K34" s="710"/>
      <c r="L34" s="711"/>
      <c r="M34" s="700" t="str">
        <f>M33</f>
        <v>Perennial Cool Season Sedge</v>
      </c>
    </row>
    <row r="35" spans="1:24">
      <c r="A35" s="6">
        <v>11</v>
      </c>
      <c r="B35" s="146" t="s">
        <v>203</v>
      </c>
      <c r="C35" s="147" t="str">
        <f>IF(ISERROR(VLOOKUP(B35,Grass_Table,2,FALSE)),"",VLOOKUP(B35,Grass_Table,2,FALSE))</f>
        <v>Muhlenbergia mexicana</v>
      </c>
      <c r="D35" s="354"/>
      <c r="E35" s="355"/>
      <c r="F35" s="359">
        <v>1.4</v>
      </c>
      <c r="G35" s="134">
        <f>IF(ISNA(VLOOKUP(B35,Grass_Table,31,FALSE)),"",VLOOKUP(B35,Grass_Table,31,FALSE))</f>
        <v>5</v>
      </c>
      <c r="H35" s="138">
        <f>IF(ISNA(VLOOKUP(B35,Grass_Table,25,FALSE)),"",VLOOKUP(B35,Grass_Table,25,FALSE))</f>
        <v>1920</v>
      </c>
      <c r="I35" s="101">
        <f>IF(ISNA(VLOOKUP(B35,Grass_Table,28,FALSE)),"",VLOOKUP(B35,Grass_Table,28,FALSE))</f>
        <v>64.279155188246094</v>
      </c>
      <c r="J35" s="101">
        <f>IF(ISNA(VLOOKUP(B35,Grass_Table,21,FALSE)),"",VLOOKUP(B35,Grass_Table,21,FALSE))</f>
        <v>0.54449999999999998</v>
      </c>
      <c r="K35" s="140">
        <f>IF(D36&gt;0,D36,0)</f>
        <v>3.4999999999999996E-2</v>
      </c>
      <c r="L35" s="143">
        <f>IF(D35="",IF(E35="",IF(F35="",0,F35/I35*H35),E35*H35),E36*H35)</f>
        <v>41.817599999999999</v>
      </c>
      <c r="M35" s="148" t="str">
        <f>IF(ISERROR(VLOOKUP(B35,Grass_Table,32,FALSE)),"",VLOOKUP(B35,Grass_Table,32,FALSE))</f>
        <v>Perennial Warm Season Grass</v>
      </c>
      <c r="X35" s="7" t="s">
        <v>902</v>
      </c>
    </row>
    <row r="36" spans="1:24">
      <c r="A36" s="6"/>
      <c r="B36" s="698" t="str">
        <f>B35</f>
        <v>Mexican Muhly</v>
      </c>
      <c r="C36" s="149" t="str">
        <f>IF(ISERROR(VLOOKUP(B35,Grass_Table,30,FALSE)),"",VLOOKUP(B35,Grass_Table,30,FALSE))</f>
        <v>Rhizomatous</v>
      </c>
      <c r="D36" s="356">
        <f>IF(E35="",IF(F35="","",F35/$F$165),F36/$F$165)</f>
        <v>3.4999999999999996E-2</v>
      </c>
      <c r="E36" s="357">
        <f>IF(D35="",IF(F35="","",F35/I35),J35*D35)</f>
        <v>2.1780000000000001E-2</v>
      </c>
      <c r="F36" s="357" t="str">
        <f>IF(D35="",IF(E35="","",E35*I35),E36*I35)</f>
        <v/>
      </c>
      <c r="G36" s="704">
        <f>G35</f>
        <v>5</v>
      </c>
      <c r="H36" s="130"/>
      <c r="I36" s="706" t="str">
        <f>IF(J35="Plugs Only","CANNOT USE CALCULATOR FOR SEEDING RATE -- USE PLUGS ONLY","")</f>
        <v/>
      </c>
      <c r="J36" s="707"/>
      <c r="K36" s="707"/>
      <c r="L36" s="708"/>
      <c r="M36" s="700" t="str">
        <f>M35</f>
        <v>Perennial Warm Season Grass</v>
      </c>
    </row>
    <row r="37" spans="1:24">
      <c r="A37" s="6">
        <v>12</v>
      </c>
      <c r="B37" s="146" t="s">
        <v>873</v>
      </c>
      <c r="C37" s="147" t="str">
        <f>IF(ISERROR(VLOOKUP(B37,Grass_Table,2,FALSE)),"",VLOOKUP(B37,Grass_Table,2,FALSE))</f>
        <v>Panicum virgatum</v>
      </c>
      <c r="D37" s="354"/>
      <c r="E37" s="355"/>
      <c r="F37" s="359">
        <v>1.5</v>
      </c>
      <c r="G37" s="134">
        <f>IF(ISNA(VLOOKUP(B37,Grass_Table,31,FALSE)),"",VLOOKUP(B37,Grass_Table,31,FALSE))</f>
        <v>5</v>
      </c>
      <c r="H37" s="138">
        <f>IF(ISNA(VLOOKUP(B37,Grass_Table,25,FALSE)),"",VLOOKUP(B37,Grass_Table,25,FALSE))</f>
        <v>8</v>
      </c>
      <c r="I37" s="101">
        <f>IF(ISNA(VLOOKUP(B37,Grass_Table,28,FALSE)),"",VLOOKUP(B37,Grass_Table,28,FALSE))</f>
        <v>5.1423324150596876</v>
      </c>
      <c r="J37" s="101">
        <f>IF(ISNA(VLOOKUP(B37,Grass_Table,21,FALSE)),"",VLOOKUP(B37,Grass_Table,21,FALSE))</f>
        <v>6.8062500000000004</v>
      </c>
      <c r="K37" s="140">
        <f>IF(D38&gt;0,D38,0)</f>
        <v>3.7499999999999999E-2</v>
      </c>
      <c r="L37" s="143">
        <f>IF(D37="",IF(E37="",IF(F37="",0,F37/I37*H37),E37*H37),E38*H37)</f>
        <v>2.3335714285714286</v>
      </c>
      <c r="M37" s="148" t="str">
        <f>IF(ISERROR(VLOOKUP(B37,Grass_Table,32,FALSE)),"",VLOOKUP(B37,Grass_Table,32,FALSE))</f>
        <v>Annual Warm Season Grass</v>
      </c>
      <c r="X37" s="7" t="s">
        <v>902</v>
      </c>
    </row>
    <row r="38" spans="1:24">
      <c r="A38" s="6"/>
      <c r="B38" s="698" t="str">
        <f>B37</f>
        <v>Switchgrass</v>
      </c>
      <c r="C38" s="149" t="str">
        <f>IF(ISERROR(VLOOKUP(B37,Grass_Table,30,FALSE)),"",VLOOKUP(B37,Grass_Table,30,FALSE))</f>
        <v>Rhizomatous</v>
      </c>
      <c r="D38" s="356">
        <f>IF(E37="",IF(F37="","",F37/$F$165),F38/$F$165)</f>
        <v>3.7499999999999999E-2</v>
      </c>
      <c r="E38" s="357">
        <f>IF(D37="",IF(F37="","",F37/I37),J37*D37)</f>
        <v>0.29169642857142858</v>
      </c>
      <c r="F38" s="357" t="str">
        <f>IF(D37="",IF(E37="","",E37*I37),E38*I37)</f>
        <v/>
      </c>
      <c r="G38" s="704">
        <f>G37</f>
        <v>5</v>
      </c>
      <c r="H38" s="130"/>
      <c r="I38" s="706" t="str">
        <f>IF(J37="Plugs Only","CANNOT USE CALCULATOR FOR SEEDING RATE -- USE PLUGS ONLY","")</f>
        <v/>
      </c>
      <c r="J38" s="707"/>
      <c r="K38" s="707"/>
      <c r="L38" s="708"/>
      <c r="M38" s="700" t="str">
        <f>M37</f>
        <v>Annual Warm Season Grass</v>
      </c>
    </row>
    <row r="39" spans="1:24">
      <c r="A39" s="6">
        <v>13</v>
      </c>
      <c r="B39" s="146" t="s">
        <v>206</v>
      </c>
      <c r="C39" s="147" t="str">
        <f>IF(ISERROR(VLOOKUP(B39,Grass_Table,2,FALSE)),"",VLOOKUP(B39,Grass_Table,2,FALSE))</f>
        <v>Pascopyrum smithii</v>
      </c>
      <c r="D39" s="354"/>
      <c r="E39" s="355"/>
      <c r="F39" s="359">
        <v>1.5</v>
      </c>
      <c r="G39" s="134">
        <f>IF(ISNA(VLOOKUP(B39,Grass_Table,31,FALSE)),"",VLOOKUP(B39,Grass_Table,31,FALSE))</f>
        <v>2</v>
      </c>
      <c r="H39" s="138">
        <f>IF(ISNA(VLOOKUP(B39,Grass_Table,25,FALSE)),"",VLOOKUP(B39,Grass_Table,25,FALSE))</f>
        <v>19</v>
      </c>
      <c r="I39" s="101">
        <f>IF(ISNA(VLOOKUP(B39,Grass_Table,28,FALSE)),"",VLOOKUP(B39,Grass_Table,28,FALSE))</f>
        <v>2.6402203856749313</v>
      </c>
      <c r="J39" s="101">
        <f>IF(ISNA(VLOOKUP(B39,Grass_Table,21,FALSE)),"",VLOOKUP(B39,Grass_Table,21,FALSE))</f>
        <v>13.256469115191985</v>
      </c>
      <c r="K39" s="140">
        <f>IF(D40&gt;0,D40,0)</f>
        <v>3.7499999999999999E-2</v>
      </c>
      <c r="L39" s="143">
        <f>IF(D39="",IF(E39="",IF(F39="",0,F39/I39*H39),E39*H39),E40*H39)</f>
        <v>10.794553422370615</v>
      </c>
      <c r="M39" s="148" t="str">
        <f>IF(ISERROR(VLOOKUP(B39,Grass_Table,32,FALSE)),"",VLOOKUP(B39,Grass_Table,32,FALSE))</f>
        <v>Perennial Cool Season Grass</v>
      </c>
      <c r="X39" s="7" t="s">
        <v>902</v>
      </c>
    </row>
    <row r="40" spans="1:24">
      <c r="A40" s="6"/>
      <c r="B40" s="698" t="str">
        <f>B39</f>
        <v>Western Wheatgrass</v>
      </c>
      <c r="C40" s="149" t="str">
        <f>IF(ISERROR(VLOOKUP(B39,Grass_Table,30,FALSE)),"",VLOOKUP(B39,Grass_Table,30,FALSE))</f>
        <v>Rhizomatous</v>
      </c>
      <c r="D40" s="356">
        <f>IF(E39="",IF(F39="","",F39/$F$165),F40/$F$165)</f>
        <v>3.7499999999999999E-2</v>
      </c>
      <c r="E40" s="357">
        <f>IF(D39="",IF(F39="","",F39/I39),J39*D39)</f>
        <v>0.56813439065108506</v>
      </c>
      <c r="F40" s="357" t="str">
        <f>IF(D39="",IF(E39="","",E39*I39),E40*I39)</f>
        <v/>
      </c>
      <c r="G40" s="704">
        <f>G39</f>
        <v>2</v>
      </c>
      <c r="H40" s="130"/>
      <c r="I40" s="706" t="str">
        <f>IF(J39="Plugs Only","CANNOT USE CALCULATOR FOR SEEDING RATE -- USE PLUGS ONLY","")</f>
        <v/>
      </c>
      <c r="J40" s="707"/>
      <c r="K40" s="707"/>
      <c r="L40" s="708"/>
      <c r="M40" s="700" t="str">
        <f>M39</f>
        <v>Perennial Cool Season Grass</v>
      </c>
    </row>
    <row r="41" spans="1:24">
      <c r="A41" s="6">
        <v>14</v>
      </c>
      <c r="B41" s="146" t="s">
        <v>208</v>
      </c>
      <c r="C41" s="147" t="str">
        <f>IF(ISERROR(VLOOKUP(B41,Grass_Table,2,FALSE)),"",VLOOKUP(B41,Grass_Table,2,FALSE))</f>
        <v>Poa palustris</v>
      </c>
      <c r="D41" s="354"/>
      <c r="E41" s="355"/>
      <c r="F41" s="359">
        <v>1.5</v>
      </c>
      <c r="G41" s="134">
        <f>IF(ISNA(VLOOKUP(B41,Grass_Table,31,FALSE)),"",VLOOKUP(B41,Grass_Table,31,FALSE))</f>
        <v>5</v>
      </c>
      <c r="H41" s="138">
        <f>IF(ISNA(VLOOKUP(B41,Grass_Table,25,FALSE)),"",VLOOKUP(B41,Grass_Table,25,FALSE))</f>
        <v>16</v>
      </c>
      <c r="I41" s="101">
        <f>IF(ISNA(VLOOKUP(B41,Grass_Table,28,FALSE)),"",VLOOKUP(B41,Grass_Table,28,FALSE))</f>
        <v>47.750229568411385</v>
      </c>
      <c r="J41" s="101">
        <f>IF(ISNA(VLOOKUP(B41,Grass_Table,21,FALSE)),"",VLOOKUP(B41,Grass_Table,21,FALSE))</f>
        <v>0.73298076923076927</v>
      </c>
      <c r="K41" s="140">
        <f>IF(D42&gt;0,D42,0)</f>
        <v>3.7499999999999999E-2</v>
      </c>
      <c r="L41" s="143">
        <f>IF(D41="",IF(E41="",IF(F41="",0,F41/I41*H41),E41*H41),E42*H41)</f>
        <v>0.50261538461538469</v>
      </c>
      <c r="M41" s="148" t="str">
        <f>IF(ISERROR(VLOOKUP(B41,Grass_Table,32,FALSE)),"",VLOOKUP(B41,Grass_Table,32,FALSE))</f>
        <v>Perennial Cool Season Grass</v>
      </c>
      <c r="X41" s="7" t="s">
        <v>902</v>
      </c>
    </row>
    <row r="42" spans="1:24">
      <c r="A42" s="6"/>
      <c r="B42" s="698" t="str">
        <f>B41</f>
        <v>Fowl Bluegrass</v>
      </c>
      <c r="C42" s="149" t="str">
        <f>IF(ISERROR(VLOOKUP(B41,Grass_Table,30,FALSE)),"",VLOOKUP(B41,Grass_Table,30,FALSE))</f>
        <v>Bunch</v>
      </c>
      <c r="D42" s="356">
        <f>IF(E41="",IF(F41="","",F41/$F$165),F42/$F$165)</f>
        <v>3.7499999999999999E-2</v>
      </c>
      <c r="E42" s="357">
        <f>IF(D41="",IF(F41="","",F41/I41),J41*D41)</f>
        <v>3.1413461538461543E-2</v>
      </c>
      <c r="F42" s="357" t="str">
        <f>IF(D41="",IF(E41="","",E41*I41),E42*I41)</f>
        <v/>
      </c>
      <c r="G42" s="704">
        <f>G41</f>
        <v>5</v>
      </c>
      <c r="H42" s="130"/>
      <c r="I42" s="706" t="str">
        <f>IF(J41="Plugs Only","CANNOT USE CALCULATOR FOR SEEDING RATE -- USE PLUGS ONLY","")</f>
        <v/>
      </c>
      <c r="J42" s="707"/>
      <c r="K42" s="707"/>
      <c r="L42" s="708"/>
      <c r="M42" s="700" t="str">
        <f>M41</f>
        <v>Perennial Cool Season Grass</v>
      </c>
    </row>
    <row r="43" spans="1:24">
      <c r="A43" s="6">
        <v>15</v>
      </c>
      <c r="B43" s="146" t="s">
        <v>217</v>
      </c>
      <c r="C43" s="147" t="str">
        <f>IF(ISERROR(VLOOKUP(B43,Grass_Table,2,FALSE)),"",VLOOKUP(B43,Grass_Table,2,FALSE))</f>
        <v>Spartina pectinata</v>
      </c>
      <c r="D43" s="354"/>
      <c r="E43" s="355"/>
      <c r="F43" s="359">
        <v>0.5</v>
      </c>
      <c r="G43" s="134">
        <f>IF(ISNA(VLOOKUP(B43,Grass_Table,31,FALSE)),"",VLOOKUP(B43,Grass_Table,31,FALSE))</f>
        <v>4</v>
      </c>
      <c r="H43" s="138">
        <f>IF(ISNA(VLOOKUP(B43,Grass_Table,25,FALSE)),"",VLOOKUP(B43,Grass_Table,25,FALSE))</f>
        <v>90</v>
      </c>
      <c r="I43" s="101">
        <f>IF(ISNA(VLOOKUP(B43,Grass_Table,28,FALSE)),"",VLOOKUP(B43,Grass_Table,28,FALSE))</f>
        <v>2.4242424242424243</v>
      </c>
      <c r="J43" s="101">
        <f>IF(ISNA(VLOOKUP(B43,Grass_Table,21,FALSE)),"",VLOOKUP(B43,Grass_Table,21,FALSE))</f>
        <v>14.4375</v>
      </c>
      <c r="K43" s="140">
        <f>IF(D44&gt;0,D44,0)</f>
        <v>1.2500000000000001E-2</v>
      </c>
      <c r="L43" s="143">
        <f>IF(D43="",IF(E43="",IF(F43="",0,F43/I43*H43),E43*H43),E44*H43)</f>
        <v>18.5625</v>
      </c>
      <c r="M43" s="148" t="str">
        <f>IF(ISERROR(VLOOKUP(B43,Grass_Table,32,FALSE)),"",VLOOKUP(B43,Grass_Table,32,FALSE))</f>
        <v>Perennial Warm Season Grass</v>
      </c>
      <c r="X43" s="7" t="s">
        <v>902</v>
      </c>
    </row>
    <row r="44" spans="1:24">
      <c r="A44" s="6"/>
      <c r="B44" s="698" t="str">
        <f>B43</f>
        <v>Prairie Cordgrass</v>
      </c>
      <c r="C44" s="149" t="str">
        <f>IF(ISERROR(VLOOKUP(B43,Grass_Table,30,FALSE)),"",VLOOKUP(B43,Grass_Table,30,FALSE))</f>
        <v>Rhizomatous</v>
      </c>
      <c r="D44" s="356">
        <f>IF(E43="",IF(F43="","",F43/$F$165),F44/$F$165)</f>
        <v>1.2500000000000001E-2</v>
      </c>
      <c r="E44" s="357">
        <f>IF(D43="",IF(F43="","",F43/I43),J43*D43)</f>
        <v>0.20624999999999999</v>
      </c>
      <c r="F44" s="357" t="str">
        <f>IF(D43="",IF(E43="","",E43*I43),E44*I43)</f>
        <v/>
      </c>
      <c r="G44" s="704">
        <f>G43</f>
        <v>4</v>
      </c>
      <c r="H44" s="130"/>
      <c r="I44" s="706" t="str">
        <f>IF(J43="Plugs Only","CANNOT USE CALCULATOR FOR SEEDING RATE -- USE PLUGS ONLY","")</f>
        <v/>
      </c>
      <c r="J44" s="707"/>
      <c r="K44" s="707"/>
      <c r="L44" s="708"/>
      <c r="M44" s="700" t="str">
        <f>M43</f>
        <v>Perennial Warm Season Grass</v>
      </c>
    </row>
    <row r="45" spans="1:24">
      <c r="A45" s="6">
        <v>16</v>
      </c>
      <c r="B45" s="146"/>
      <c r="C45" s="147" t="str">
        <f>IF(ISERROR(VLOOKUP(B45,Grass_Table,2,FALSE)),"",VLOOKUP(B45,Grass_Table,2,FALSE))</f>
        <v/>
      </c>
      <c r="D45" s="354"/>
      <c r="E45" s="355"/>
      <c r="F45" s="359"/>
      <c r="G45" s="134" t="str">
        <f>IF(ISNA(VLOOKUP(B45,Grass_Table,31,FALSE)),"",VLOOKUP(B45,Grass_Table,31,FALSE))</f>
        <v/>
      </c>
      <c r="H45" s="138" t="str">
        <f>IF(ISNA(VLOOKUP(B45,Grass_Table,25,FALSE)),"",VLOOKUP(B45,Grass_Table,25,FALSE))</f>
        <v/>
      </c>
      <c r="I45" s="101" t="str">
        <f>IF(ISNA(VLOOKUP(B45,Grass_Table,28,FALSE)),"",VLOOKUP(B45,Grass_Table,28,FALSE))</f>
        <v/>
      </c>
      <c r="J45" s="101" t="str">
        <f>IF(ISNA(VLOOKUP(B45,Grass_Table,21,FALSE)),"",VLOOKUP(B45,Grass_Table,21,FALSE))</f>
        <v/>
      </c>
      <c r="K45" s="140" t="str">
        <f>IF(D46&gt;0,D46,0)</f>
        <v/>
      </c>
      <c r="L45" s="143">
        <f>IF(D45="",IF(E45="",IF(F45="",0,F45/I45*H45),E45*H45),E46*H45)</f>
        <v>0</v>
      </c>
      <c r="M45" s="148" t="str">
        <f>IF(ISERROR(VLOOKUP(B45,Grass_Table,32,FALSE)),"",VLOOKUP(B45,Grass_Table,32,FALSE))</f>
        <v/>
      </c>
      <c r="X45" s="7" t="s">
        <v>902</v>
      </c>
    </row>
    <row r="46" spans="1:24">
      <c r="A46" s="6"/>
      <c r="B46" s="698">
        <f>B45</f>
        <v>0</v>
      </c>
      <c r="C46" s="149" t="str">
        <f>IF(ISERROR(VLOOKUP(B45,Grass_Table,30,FALSE)),"",VLOOKUP(B45,Grass_Table,30,FALSE))</f>
        <v/>
      </c>
      <c r="D46" s="356" t="str">
        <f>IF(E45="",IF(F45="","",F45/$F$165),F46/$F$165)</f>
        <v/>
      </c>
      <c r="E46" s="357" t="str">
        <f>IF(D45="",IF(F45="","",F45/I45),J45*D45)</f>
        <v/>
      </c>
      <c r="F46" s="357" t="str">
        <f>IF(D45="",IF(E45="","",E45*I45),E46*I45)</f>
        <v/>
      </c>
      <c r="G46" s="704" t="str">
        <f>G45</f>
        <v/>
      </c>
      <c r="H46" s="130"/>
      <c r="I46" s="706" t="str">
        <f>IF(J45="Plugs Only","CANNOT USE CALCULATOR FOR SEEDING RATE -- USE PLUGS ONLY","")</f>
        <v/>
      </c>
      <c r="J46" s="707"/>
      <c r="K46" s="707"/>
      <c r="L46" s="708"/>
      <c r="M46" s="700" t="str">
        <f>M45</f>
        <v/>
      </c>
    </row>
    <row r="47" spans="1:24">
      <c r="A47" s="6">
        <v>17</v>
      </c>
      <c r="B47" s="146"/>
      <c r="C47" s="147" t="str">
        <f>IF(ISERROR(VLOOKUP(B47,Grass_Table,2,FALSE)),"",VLOOKUP(B47,Grass_Table,2,FALSE))</f>
        <v/>
      </c>
      <c r="D47" s="354"/>
      <c r="E47" s="355"/>
      <c r="F47" s="359"/>
      <c r="G47" s="134" t="str">
        <f>IF(ISNA(VLOOKUP(B47,Grass_Table,31,FALSE)),"",VLOOKUP(B47,Grass_Table,31,FALSE))</f>
        <v/>
      </c>
      <c r="H47" s="138" t="str">
        <f>IF(ISNA(VLOOKUP(B47,Grass_Table,25,FALSE)),"",VLOOKUP(B47,Grass_Table,25,FALSE))</f>
        <v/>
      </c>
      <c r="I47" s="101" t="str">
        <f>IF(ISNA(VLOOKUP(B47,Grass_Table,28,FALSE)),"",VLOOKUP(B47,Grass_Table,28,FALSE))</f>
        <v/>
      </c>
      <c r="J47" s="101" t="str">
        <f>IF(ISNA(VLOOKUP(B47,Grass_Table,21,FALSE)),"",VLOOKUP(B47,Grass_Table,21,FALSE))</f>
        <v/>
      </c>
      <c r="K47" s="140" t="str">
        <f>IF(D48&gt;0,D48,0)</f>
        <v/>
      </c>
      <c r="L47" s="143">
        <f>IF(D47="",IF(E47="",IF(F47="",0,F47/I47*H47),E47*H47),E48*H47)</f>
        <v>0</v>
      </c>
      <c r="M47" s="148" t="str">
        <f>IF(ISERROR(VLOOKUP(B47,Grass_Table,32,FALSE)),"",VLOOKUP(B47,Grass_Table,32,FALSE))</f>
        <v/>
      </c>
      <c r="X47" s="7" t="s">
        <v>902</v>
      </c>
    </row>
    <row r="48" spans="1:24">
      <c r="A48" s="6"/>
      <c r="B48" s="698">
        <f>B47</f>
        <v>0</v>
      </c>
      <c r="C48" s="149" t="str">
        <f>IF(ISERROR(VLOOKUP(B47,Grass_Table,30,FALSE)),"",VLOOKUP(B47,Grass_Table,30,FALSE))</f>
        <v/>
      </c>
      <c r="D48" s="356" t="str">
        <f>IF(E47="",IF(F47="","",F47/$F$165),F48/$F$165)</f>
        <v/>
      </c>
      <c r="E48" s="357" t="str">
        <f>IF(D47="",IF(F47="","",F47/I47),J47*D47)</f>
        <v/>
      </c>
      <c r="F48" s="357" t="str">
        <f>IF(D47="",IF(E47="","",E47*I47),E48*I47)</f>
        <v/>
      </c>
      <c r="G48" s="704" t="str">
        <f>G47</f>
        <v/>
      </c>
      <c r="H48" s="130"/>
      <c r="I48" s="706" t="str">
        <f>IF(J47="Plugs Only","CANNOT USE CALCULATOR FOR SEEDING RATE -- USE PLUGS ONLY","")</f>
        <v/>
      </c>
      <c r="J48" s="707"/>
      <c r="K48" s="707"/>
      <c r="L48" s="708"/>
      <c r="M48" s="700" t="str">
        <f>M47</f>
        <v/>
      </c>
    </row>
    <row r="49" spans="1:26">
      <c r="A49" s="6">
        <v>18</v>
      </c>
      <c r="B49" s="146"/>
      <c r="C49" s="147" t="str">
        <f>IF(ISERROR(VLOOKUP(B49,Grass_Table,2,FALSE)),"",VLOOKUP(B49,Grass_Table,2,FALSE))</f>
        <v/>
      </c>
      <c r="D49" s="354"/>
      <c r="E49" s="355"/>
      <c r="F49" s="359"/>
      <c r="G49" s="134" t="str">
        <f>IF(ISNA(VLOOKUP(B49,Grass_Table,31,FALSE)),"",VLOOKUP(B49,Grass_Table,31,FALSE))</f>
        <v/>
      </c>
      <c r="H49" s="138" t="str">
        <f>IF(ISNA(VLOOKUP(B49,Grass_Table,25,FALSE)),"",VLOOKUP(B49,Grass_Table,25,FALSE))</f>
        <v/>
      </c>
      <c r="I49" s="101" t="str">
        <f>IF(ISNA(VLOOKUP(B49,Grass_Table,28,FALSE)),"",VLOOKUP(B49,Grass_Table,28,FALSE))</f>
        <v/>
      </c>
      <c r="J49" s="101" t="str">
        <f>IF(ISNA(VLOOKUP(B49,Grass_Table,21,FALSE)),"",VLOOKUP(B49,Grass_Table,21,FALSE))</f>
        <v/>
      </c>
      <c r="K49" s="140" t="str">
        <f>IF(D50&gt;0,D50,0)</f>
        <v/>
      </c>
      <c r="L49" s="143">
        <f>IF(D49="",IF(E49="",IF(F49="",0,F49/I49*H49),E49*H49),E50*H49)</f>
        <v>0</v>
      </c>
      <c r="M49" s="148" t="str">
        <f>IF(ISERROR(VLOOKUP(B49,Grass_Table,32,FALSE)),"",VLOOKUP(B49,Grass_Table,32,FALSE))</f>
        <v/>
      </c>
      <c r="X49" s="7" t="s">
        <v>902</v>
      </c>
    </row>
    <row r="50" spans="1:26">
      <c r="A50" s="6"/>
      <c r="B50" s="698">
        <f>B49</f>
        <v>0</v>
      </c>
      <c r="C50" s="149" t="str">
        <f>IF(ISERROR(VLOOKUP(B49,Grass_Table,30,FALSE)),"",VLOOKUP(B49,Grass_Table,30,FALSE))</f>
        <v/>
      </c>
      <c r="D50" s="356" t="str">
        <f>IF(E49="",IF(F49="","",F49/$F$165),F50/$F$165)</f>
        <v/>
      </c>
      <c r="E50" s="357" t="str">
        <f>IF(D49="",IF(F49="","",F49/I49),J49*D49)</f>
        <v/>
      </c>
      <c r="F50" s="357" t="str">
        <f>IF(D49="",IF(E49="","",E49*I49),E50*I49)</f>
        <v/>
      </c>
      <c r="G50" s="704" t="str">
        <f>G49</f>
        <v/>
      </c>
      <c r="H50" s="130"/>
      <c r="I50" s="706" t="str">
        <f>IF(J49="Plugs Only","CANNOT USE CALCULATOR FOR SEEDING RATE -- USE PLUGS ONLY","")</f>
        <v/>
      </c>
      <c r="J50" s="707"/>
      <c r="K50" s="707"/>
      <c r="L50" s="708"/>
      <c r="M50" s="700" t="str">
        <f>M49</f>
        <v/>
      </c>
    </row>
    <row r="51" spans="1:26">
      <c r="A51" s="6">
        <v>19</v>
      </c>
      <c r="B51" s="146"/>
      <c r="C51" s="147" t="str">
        <f>IF(ISERROR(VLOOKUP(B51,Grass_Table,2,FALSE)),"",VLOOKUP(B51,Grass_Table,2,FALSE))</f>
        <v/>
      </c>
      <c r="D51" s="354"/>
      <c r="E51" s="355"/>
      <c r="F51" s="359"/>
      <c r="G51" s="134" t="str">
        <f>IF(ISNA(VLOOKUP(B51,Grass_Table,31,FALSE)),"",VLOOKUP(B51,Grass_Table,31,FALSE))</f>
        <v/>
      </c>
      <c r="H51" s="138" t="str">
        <f>IF(ISNA(VLOOKUP(B51,Grass_Table,25,FALSE)),"",VLOOKUP(B51,Grass_Table,25,FALSE))</f>
        <v/>
      </c>
      <c r="I51" s="101" t="str">
        <f>IF(ISNA(VLOOKUP(B51,Grass_Table,28,FALSE)),"",VLOOKUP(B51,Grass_Table,28,FALSE))</f>
        <v/>
      </c>
      <c r="J51" s="101" t="str">
        <f>IF(ISNA(VLOOKUP(B51,Grass_Table,21,FALSE)),"",VLOOKUP(B51,Grass_Table,21,FALSE))</f>
        <v/>
      </c>
      <c r="K51" s="140" t="str">
        <f>IF(D52&gt;0,D52,0)</f>
        <v/>
      </c>
      <c r="L51" s="143">
        <f>IF(D51="",IF(E51="",IF(F51="",0,F51/I51*H51),E51*H51),E52*H51)</f>
        <v>0</v>
      </c>
      <c r="M51" s="148" t="str">
        <f>IF(ISERROR(VLOOKUP(B51,Grass_Table,32,FALSE)),"",VLOOKUP(B51,Grass_Table,32,FALSE))</f>
        <v/>
      </c>
      <c r="X51" s="7" t="s">
        <v>902</v>
      </c>
    </row>
    <row r="52" spans="1:26">
      <c r="A52" s="6"/>
      <c r="B52" s="698">
        <f>B51</f>
        <v>0</v>
      </c>
      <c r="C52" s="149" t="str">
        <f>IF(ISERROR(VLOOKUP(B51,Grass_Table,30,FALSE)),"",VLOOKUP(B51,Grass_Table,30,FALSE))</f>
        <v/>
      </c>
      <c r="D52" s="356" t="str">
        <f>IF(E51="",IF(F51="","",F51/$F$165),F52/$F$165)</f>
        <v/>
      </c>
      <c r="E52" s="357" t="str">
        <f>IF(D51="",IF(F51="","",F51/I51),J51*D51)</f>
        <v/>
      </c>
      <c r="F52" s="357" t="str">
        <f>IF(D51="",IF(E51="","",E51*I51),E52*I51)</f>
        <v/>
      </c>
      <c r="G52" s="704" t="str">
        <f>G51</f>
        <v/>
      </c>
      <c r="H52" s="130"/>
      <c r="I52" s="706" t="str">
        <f>IF(J51="Plugs Only","CANNOT USE CALCULATOR FOR SEEDING RATE -- USE PLUGS ONLY","")</f>
        <v/>
      </c>
      <c r="J52" s="707"/>
      <c r="K52" s="707"/>
      <c r="L52" s="708"/>
      <c r="M52" s="700" t="str">
        <f>M51</f>
        <v/>
      </c>
    </row>
    <row r="53" spans="1:26">
      <c r="A53" s="6">
        <v>20</v>
      </c>
      <c r="B53" s="146"/>
      <c r="C53" s="147" t="str">
        <f>IF(ISERROR(VLOOKUP(B53,Grass_Table,2,FALSE)),"",VLOOKUP(B53,Grass_Table,2,FALSE))</f>
        <v/>
      </c>
      <c r="D53" s="354"/>
      <c r="E53" s="355"/>
      <c r="F53" s="359"/>
      <c r="G53" s="134" t="str">
        <f>IF(ISNA(VLOOKUP(B53,Grass_Table,31,FALSE)),"",VLOOKUP(B53,Grass_Table,31,FALSE))</f>
        <v/>
      </c>
      <c r="H53" s="138" t="str">
        <f>IF(ISNA(VLOOKUP(B53,Grass_Table,25,FALSE)),"",VLOOKUP(B53,Grass_Table,25,FALSE))</f>
        <v/>
      </c>
      <c r="I53" s="101" t="str">
        <f>IF(ISNA(VLOOKUP(B53,Grass_Table,28,FALSE)),"",VLOOKUP(B53,Grass_Table,28,FALSE))</f>
        <v/>
      </c>
      <c r="J53" s="101" t="str">
        <f>IF(ISNA(VLOOKUP(B53,Grass_Table,21,FALSE)),"",VLOOKUP(B53,Grass_Table,21,FALSE))</f>
        <v/>
      </c>
      <c r="K53" s="140" t="str">
        <f>IF(D54&gt;0,D54,0)</f>
        <v/>
      </c>
      <c r="L53" s="143">
        <f>IF(D53="",IF(E53="",IF(F53="",0,F53/I53*H53),E53*H53),E54*H53)</f>
        <v>0</v>
      </c>
      <c r="M53" s="148" t="str">
        <f>IF(ISERROR(VLOOKUP(B53,Grass_Table,32,FALSE)),"",VLOOKUP(B53,Grass_Table,32,FALSE))</f>
        <v/>
      </c>
      <c r="X53" s="7" t="s">
        <v>902</v>
      </c>
    </row>
    <row r="54" spans="1:26" ht="17.25" customHeight="1">
      <c r="A54" s="6"/>
      <c r="B54" s="698">
        <f>B53</f>
        <v>0</v>
      </c>
      <c r="C54" s="149" t="str">
        <f>IF(ISERROR(VLOOKUP(B53,Grass_Table,30,FALSE)),"",VLOOKUP(B53,Grass_Table,30,FALSE))</f>
        <v/>
      </c>
      <c r="D54" s="356" t="str">
        <f>IF(E53="",IF(F53="","",F53/$F$165),F54/$F$165)</f>
        <v/>
      </c>
      <c r="E54" s="357" t="str">
        <f>IF(D53="",IF(F53="","",F53/I53),J53*D53)</f>
        <v/>
      </c>
      <c r="F54" s="357" t="str">
        <f>IF(D53="",IF(E53="","",E53*I53),E54*I53)</f>
        <v/>
      </c>
      <c r="G54" s="704" t="str">
        <f>G53</f>
        <v/>
      </c>
      <c r="H54" s="130"/>
      <c r="I54" s="706" t="str">
        <f>IF(J53="Plugs Only","CANNOT USE CALCULATOR FOR SEEDING RATE -- USE PLUGS ONLY","")</f>
        <v/>
      </c>
      <c r="J54" s="707"/>
      <c r="K54" s="707"/>
      <c r="L54" s="708"/>
      <c r="M54" s="700" t="str">
        <f>M53</f>
        <v/>
      </c>
    </row>
    <row r="55" spans="1:26" ht="15" customHeight="1">
      <c r="A55" s="6"/>
      <c r="B55" s="7"/>
      <c r="C55" s="766" t="s">
        <v>9</v>
      </c>
      <c r="D55" s="360"/>
      <c r="E55" s="748" t="s">
        <v>889</v>
      </c>
      <c r="F55" s="748" t="s">
        <v>1287</v>
      </c>
      <c r="G55" s="750" t="s">
        <v>7</v>
      </c>
      <c r="I55" s="8"/>
      <c r="J55" s="8"/>
      <c r="L55" s="3"/>
    </row>
    <row r="56" spans="1:26" ht="13.5" thickBot="1">
      <c r="A56" s="6"/>
      <c r="B56" s="14"/>
      <c r="C56" s="767"/>
      <c r="D56" s="361" t="s">
        <v>886</v>
      </c>
      <c r="E56" s="749"/>
      <c r="F56" s="749"/>
      <c r="G56" s="751"/>
      <c r="L56" s="2"/>
    </row>
    <row r="57" spans="1:26" ht="13.5" thickBot="1">
      <c r="B57" s="153" t="s">
        <v>1207</v>
      </c>
      <c r="C57" s="155">
        <f>COUNT(F15:F54)</f>
        <v>15</v>
      </c>
      <c r="D57" s="362">
        <f>IF(SUM(D15:D54)&gt;1,"&gt; 100%",SUM(D15:D54))</f>
        <v>0.49999999999999989</v>
      </c>
      <c r="E57" s="201">
        <f>SUM(E15:E54)</f>
        <v>2.982409457716372</v>
      </c>
      <c r="F57" s="363">
        <f>SUM(F15:F54)</f>
        <v>20</v>
      </c>
      <c r="G57" s="154">
        <f>SUM(G15:G54)/C57</f>
        <v>10.666666666666666</v>
      </c>
      <c r="I57" s="759" t="s">
        <v>1208</v>
      </c>
      <c r="J57" s="760"/>
      <c r="K57" s="761"/>
      <c r="L57" s="156">
        <f>SUM(L15:L54)</f>
        <v>487.75840008930658</v>
      </c>
      <c r="X57" s="7" t="s">
        <v>939</v>
      </c>
    </row>
    <row r="58" spans="1:26">
      <c r="B58" s="14"/>
      <c r="D58" s="364"/>
      <c r="E58" s="365"/>
      <c r="F58" s="364"/>
      <c r="L58" s="2"/>
    </row>
    <row r="59" spans="1:26" ht="13.5" thickBot="1">
      <c r="D59" s="366"/>
      <c r="E59" s="366"/>
      <c r="F59" s="366"/>
      <c r="G59" s="12"/>
      <c r="H59" s="133"/>
      <c r="L59" s="2"/>
    </row>
    <row r="60" spans="1:26" ht="16.5" thickBot="1">
      <c r="A60" s="178"/>
      <c r="B60" s="179" t="s">
        <v>891</v>
      </c>
      <c r="C60" s="173"/>
      <c r="D60" s="367"/>
      <c r="E60" s="368"/>
      <c r="F60" s="367"/>
      <c r="G60" s="173"/>
      <c r="H60" s="175"/>
      <c r="I60" s="176"/>
      <c r="J60" s="176"/>
      <c r="K60" s="173"/>
      <c r="L60" s="176"/>
      <c r="M60" s="177"/>
    </row>
    <row r="61" spans="1:26" ht="25.5" customHeight="1">
      <c r="B61" s="193" t="s">
        <v>857</v>
      </c>
      <c r="C61" s="187" t="s">
        <v>885</v>
      </c>
      <c r="D61" s="369"/>
      <c r="E61" s="425" t="s">
        <v>1317</v>
      </c>
      <c r="F61" s="426" t="s">
        <v>1318</v>
      </c>
      <c r="G61" s="752" t="s">
        <v>8</v>
      </c>
      <c r="H61" s="169"/>
      <c r="I61" s="170" t="s">
        <v>888</v>
      </c>
      <c r="J61" s="764" t="s">
        <v>1215</v>
      </c>
      <c r="K61" s="757" t="s">
        <v>1202</v>
      </c>
      <c r="L61" s="170"/>
      <c r="M61" s="172"/>
    </row>
    <row r="62" spans="1:26">
      <c r="B62" s="194"/>
      <c r="C62" s="186" t="s">
        <v>1067</v>
      </c>
      <c r="D62" s="773" t="s">
        <v>1065</v>
      </c>
      <c r="E62" s="773"/>
      <c r="F62" s="773"/>
      <c r="G62" s="753"/>
      <c r="H62" s="128" t="s">
        <v>894</v>
      </c>
      <c r="I62" s="198" t="s">
        <v>896</v>
      </c>
      <c r="J62" s="765"/>
      <c r="K62" s="758"/>
      <c r="L62" s="128" t="s">
        <v>887</v>
      </c>
      <c r="M62" s="378" t="s">
        <v>223</v>
      </c>
    </row>
    <row r="63" spans="1:26">
      <c r="A63" s="6">
        <v>1</v>
      </c>
      <c r="B63" s="146" t="s">
        <v>431</v>
      </c>
      <c r="C63" s="185" t="str">
        <f>IF(ISERROR(VLOOKUP(B63,Forb_Table,2,FALSE)),"",VLOOKUP(B63,Forb_Table,2,FALSE))</f>
        <v>Agalinis tenuifolia</v>
      </c>
      <c r="D63" s="354"/>
      <c r="E63" s="379"/>
      <c r="F63" s="380">
        <v>1.2</v>
      </c>
      <c r="G63" s="123">
        <f>IF(ISNA(VLOOKUP(B63,Forb_Table,31,FALSE)),"",VLOOKUP(B63,Forb_Table,31,FALSE))</f>
        <v>4</v>
      </c>
      <c r="H63" s="138">
        <f>IF(ISNA(VLOOKUP(B63,Forb_Table,25,FALSE)),"",VLOOKUP(B63,Forb_Table,25,FALSE))</f>
        <v>640</v>
      </c>
      <c r="I63" s="100">
        <f>IF(ISNA(VLOOKUP(B63,Forb_Table,28,FALSE)),"",VLOOKUP(B63,Forb_Table,28,FALSE))</f>
        <v>293.84756657483928</v>
      </c>
      <c r="J63" s="125">
        <f>IF(ISNA(VLOOKUP(B63,Forb_Table,21,FALSE)),"",VLOOKUP(B63,Forb_Table,21,FALSE))</f>
        <v>0.119109375</v>
      </c>
      <c r="K63" s="135">
        <f>IF(D64&gt;0,D64,0)</f>
        <v>0.03</v>
      </c>
      <c r="L63" s="143">
        <f>IF(D63="",IF(E63="",IF(F63="",0,F63/I63*H63),E63*H63),E64*H63)</f>
        <v>2.6136000000000004</v>
      </c>
      <c r="M63" s="148" t="str">
        <f>IF(ISNA(VLOOKUP(B63,Forb_Table,32,FALSE)),"",VLOOKUP(B63,Forb_Table,32,FALSE))</f>
        <v>Annual Forb, Hemiparasite</v>
      </c>
      <c r="X63" s="7" t="s">
        <v>902</v>
      </c>
      <c r="Z63" t="s">
        <v>1072</v>
      </c>
    </row>
    <row r="64" spans="1:26">
      <c r="A64" s="6"/>
      <c r="B64" s="698" t="str">
        <f>C63</f>
        <v>Agalinis tenuifolia</v>
      </c>
      <c r="C64" s="149" t="str">
        <f>IF(ISERROR(VLOOKUP(B63,Forb_Table,30,FALSE)),"",VLOOKUP(B63,Forb_Table,30,FALSE))</f>
        <v>Summer, Fall</v>
      </c>
      <c r="D64" s="356">
        <f>IF(E63="",IF(F63="","",F63/$F$165),F64/$F$165)</f>
        <v>0.03</v>
      </c>
      <c r="E64" s="381">
        <f>IF(D63="",IF(F63="","",F63/I63),J63*D63)</f>
        <v>4.0837500000000006E-3</v>
      </c>
      <c r="F64" s="381" t="str">
        <f>IF(D63="",IF(E63="","",E63*I63),E64*I63)</f>
        <v/>
      </c>
      <c r="G64" s="704">
        <f>G63</f>
        <v>4</v>
      </c>
      <c r="H64" s="130"/>
      <c r="I64" s="706"/>
      <c r="J64" s="707"/>
      <c r="K64" s="707"/>
      <c r="L64" s="708"/>
      <c r="M64" s="701" t="str">
        <f>M63</f>
        <v>Annual Forb, Hemiparasite</v>
      </c>
    </row>
    <row r="65" spans="1:24">
      <c r="A65" s="6">
        <v>2</v>
      </c>
      <c r="B65" s="146" t="s">
        <v>446</v>
      </c>
      <c r="C65" s="147" t="str">
        <f>IF(ISERROR(VLOOKUP(B65,Forb_Table,2,FALSE)),"",VLOOKUP(B65,Forb_Table,2,FALSE))</f>
        <v>Asclepias incarnata</v>
      </c>
      <c r="D65" s="354"/>
      <c r="E65" s="379"/>
      <c r="F65" s="380">
        <v>0.25</v>
      </c>
      <c r="G65" s="123">
        <f>IF(ISNA(VLOOKUP(B65,Forb_Table,31,FALSE)),"",VLOOKUP(B65,Forb_Table,31,FALSE))</f>
        <v>4</v>
      </c>
      <c r="H65" s="138">
        <f>IF(ISNA(VLOOKUP(B65,Forb_Table,25,FALSE)),"",VLOOKUP(B65,Forb_Table,25,FALSE))</f>
        <v>180</v>
      </c>
      <c r="I65" s="123">
        <f>IF(ISNA(VLOOKUP(B65,Forb_Table,28,FALSE)),"",VLOOKUP(B65,Forb_Table,28,FALSE))</f>
        <v>1.7630853994490359</v>
      </c>
      <c r="J65" s="123">
        <f>IF(ISNA(VLOOKUP(B65,Forb_Table,21,FALSE)),"",VLOOKUP(B65,Forb_Table,21,FALSE))</f>
        <v>19.8515625</v>
      </c>
      <c r="K65" s="135">
        <f>IF(D66&gt;0,D66,0)</f>
        <v>6.2500000000000003E-3</v>
      </c>
      <c r="L65" s="143">
        <f>IF(D65="",IF(E65="",IF(F65="",0,F65/I65*H65),E65*H65),E66*H65)</f>
        <v>25.523437499999996</v>
      </c>
      <c r="M65" s="148" t="str">
        <f>IF(ISNA(VLOOKUP(B65,Forb_Table,32,FALSE)),"",VLOOKUP(B65,Forb_Table,32,FALSE))</f>
        <v>Perennial Forb</v>
      </c>
      <c r="X65" s="7" t="s">
        <v>902</v>
      </c>
    </row>
    <row r="66" spans="1:24">
      <c r="A66" s="6"/>
      <c r="B66" s="698" t="str">
        <f>C65</f>
        <v>Asclepias incarnata</v>
      </c>
      <c r="C66" s="149" t="str">
        <f>IF(ISERROR(VLOOKUP(B65,Forb_Table,30,FALSE)),"",VLOOKUP(B65,Forb_Table,30,FALSE))</f>
        <v>Summer</v>
      </c>
      <c r="D66" s="356">
        <f>IF(E65="",IF(F65="","",F65/$F$165),F66/$F$165)</f>
        <v>6.2500000000000003E-3</v>
      </c>
      <c r="E66" s="381">
        <f>IF(D65="",IF(F65="","",F65/I65),J65*D65)</f>
        <v>0.14179687499999999</v>
      </c>
      <c r="F66" s="381" t="str">
        <f>IF(D65="",IF(E65="","",E65*I65),E66*I65)</f>
        <v/>
      </c>
      <c r="G66" s="704">
        <f>G65</f>
        <v>4</v>
      </c>
      <c r="H66" s="130"/>
      <c r="I66" s="706"/>
      <c r="J66" s="707"/>
      <c r="K66" s="707"/>
      <c r="L66" s="708"/>
      <c r="M66" s="701" t="str">
        <f>M65</f>
        <v>Perennial Forb</v>
      </c>
    </row>
    <row r="67" spans="1:24">
      <c r="A67" s="6">
        <v>3</v>
      </c>
      <c r="B67" s="146" t="s">
        <v>380</v>
      </c>
      <c r="C67" s="147" t="str">
        <f>IF(ISERROR(VLOOKUP(B67,Forb_Table,2,FALSE)),"",VLOOKUP(B67,Forb_Table,2,FALSE))</f>
        <v>Bidens cernua</v>
      </c>
      <c r="D67" s="354"/>
      <c r="E67" s="379"/>
      <c r="F67" s="380">
        <v>0.8</v>
      </c>
      <c r="G67" s="123">
        <f>IF(ISNA(VLOOKUP(B67,Forb_Table,31,FALSE)),"",VLOOKUP(B67,Forb_Table,31,FALSE))</f>
        <v>2</v>
      </c>
      <c r="H67" s="138">
        <f>IF(ISNA(VLOOKUP(B67,Forb_Table,25,FALSE)),"",VLOOKUP(B67,Forb_Table,25,FALSE))</f>
        <v>120</v>
      </c>
      <c r="I67" s="123">
        <f>IF(ISNA(VLOOKUP(B67,Forb_Table,28,FALSE)),"",VLOOKUP(B67,Forb_Table,28,FALSE))</f>
        <v>7.7134986225895315</v>
      </c>
      <c r="J67" s="123">
        <f>IF(ISNA(VLOOKUP(B67,Forb_Table,21,FALSE)),"",VLOOKUP(B67,Forb_Table,21,FALSE))</f>
        <v>4.5375000000000005</v>
      </c>
      <c r="K67" s="135">
        <f>IF(D68&gt;0,D68,0)</f>
        <v>0.02</v>
      </c>
      <c r="L67" s="143">
        <f>IF(D67="",IF(E67="",IF(F67="",0,F67/I67*H67),E67*H67),E68*H67)</f>
        <v>12.445714285714287</v>
      </c>
      <c r="M67" s="148" t="str">
        <f>IF(ISNA(VLOOKUP(B67,Forb_Table,32,FALSE)),"",VLOOKUP(B67,Forb_Table,32,FALSE))</f>
        <v>Annual Forb</v>
      </c>
      <c r="X67" s="7" t="s">
        <v>902</v>
      </c>
    </row>
    <row r="68" spans="1:24">
      <c r="A68" s="6"/>
      <c r="B68" s="698" t="str">
        <f>C67</f>
        <v>Bidens cernua</v>
      </c>
      <c r="C68" s="149" t="str">
        <f>IF(ISERROR(VLOOKUP(B67,Forb_Table,30,FALSE)),"",VLOOKUP(B67,Forb_Table,30,FALSE))</f>
        <v>Summer, Fall</v>
      </c>
      <c r="D68" s="356">
        <f>IF(E67="",IF(F67="","",F67/$F$165),F68/$F$165)</f>
        <v>0.02</v>
      </c>
      <c r="E68" s="381">
        <f>IF(D67="",IF(F67="","",F67/I67),J67*D67)</f>
        <v>0.10371428571428572</v>
      </c>
      <c r="F68" s="381" t="str">
        <f>IF(D67="",IF(E67="","",E67*I67),E68*I67)</f>
        <v/>
      </c>
      <c r="G68" s="704">
        <f>G67</f>
        <v>2</v>
      </c>
      <c r="H68" s="130"/>
      <c r="I68" s="706"/>
      <c r="J68" s="707"/>
      <c r="K68" s="707"/>
      <c r="L68" s="708"/>
      <c r="M68" s="701" t="str">
        <f>M67</f>
        <v>Annual Forb</v>
      </c>
    </row>
    <row r="69" spans="1:24">
      <c r="A69" s="6">
        <v>4</v>
      </c>
      <c r="B69" s="146" t="s">
        <v>391</v>
      </c>
      <c r="C69" s="147" t="str">
        <f>IF(ISERROR(VLOOKUP(B69,Forb_Table,2,FALSE)),"",VLOOKUP(B69,Forb_Table,2,FALSE))</f>
        <v>Chamaecrista fasciculata</v>
      </c>
      <c r="D69" s="354"/>
      <c r="E69" s="379"/>
      <c r="F69" s="380">
        <v>0.8</v>
      </c>
      <c r="G69" s="123">
        <f>IF(ISNA(VLOOKUP(B69,Forb_Table,31,FALSE)),"",VLOOKUP(B69,Forb_Table,31,FALSE))</f>
        <v>1</v>
      </c>
      <c r="H69" s="138">
        <f>IF(ISNA(VLOOKUP(B69,Forb_Table,25,FALSE)),"",VLOOKUP(B69,Forb_Table,25,FALSE))</f>
        <v>25</v>
      </c>
      <c r="I69" s="123">
        <f>IF(ISNA(VLOOKUP(B69,Forb_Table,28,FALSE)),"",VLOOKUP(B69,Forb_Table,28,FALSE))</f>
        <v>0.99173553719008267</v>
      </c>
      <c r="J69" s="123">
        <f>IF(ISNA(VLOOKUP(B69,Forb_Table,21,FALSE)),"",VLOOKUP(B69,Forb_Table,21,FALSE))</f>
        <v>35.291666666666664</v>
      </c>
      <c r="K69" s="135">
        <f>IF(D70&gt;0,D70,0)</f>
        <v>0.02</v>
      </c>
      <c r="L69" s="143">
        <f>IF(D69="",IF(E69="",IF(F69="",0,F69/I69*H69),E69*H69),E70*H69)</f>
        <v>20.166666666666664</v>
      </c>
      <c r="M69" s="148" t="str">
        <f>IF(ISNA(VLOOKUP(B69,Forb_Table,32,FALSE)),"",VLOOKUP(B69,Forb_Table,32,FALSE))</f>
        <v>Annual Forb, Legume</v>
      </c>
      <c r="X69" s="7" t="s">
        <v>902</v>
      </c>
    </row>
    <row r="70" spans="1:24">
      <c r="A70" s="6"/>
      <c r="B70" s="698" t="str">
        <f>C69</f>
        <v>Chamaecrista fasciculata</v>
      </c>
      <c r="C70" s="149" t="str">
        <f>IF(ISERROR(VLOOKUP(B69,Forb_Table,30,FALSE)),"",VLOOKUP(B69,Forb_Table,30,FALSE))</f>
        <v>Summer, Fall</v>
      </c>
      <c r="D70" s="356">
        <f>IF(E69="",IF(F69="","",F69/$F$165),F70/$F$165)</f>
        <v>0.02</v>
      </c>
      <c r="E70" s="381">
        <f>IF(D69="",IF(F69="","",F69/I69),J69*D69)</f>
        <v>0.80666666666666664</v>
      </c>
      <c r="F70" s="381" t="str">
        <f>IF(D69="",IF(E69="","",E69*I69),E70*I69)</f>
        <v/>
      </c>
      <c r="G70" s="704">
        <f>G69</f>
        <v>1</v>
      </c>
      <c r="H70" s="130"/>
      <c r="I70" s="706"/>
      <c r="J70" s="707"/>
      <c r="K70" s="707"/>
      <c r="L70" s="708"/>
      <c r="M70" s="701" t="str">
        <f>M69</f>
        <v>Annual Forb, Legume</v>
      </c>
    </row>
    <row r="71" spans="1:24">
      <c r="A71" s="6">
        <v>5</v>
      </c>
      <c r="B71" s="146" t="s">
        <v>478</v>
      </c>
      <c r="C71" s="147" t="str">
        <f>IF(ISERROR(VLOOKUP(B71,Forb_Table,2,FALSE)),"",VLOOKUP(B71,Forb_Table,2,FALSE))</f>
        <v xml:space="preserve">Chelone glabra  </v>
      </c>
      <c r="D71" s="354"/>
      <c r="E71" s="379"/>
      <c r="F71" s="380">
        <v>1</v>
      </c>
      <c r="G71" s="123">
        <f>IF(ISNA(VLOOKUP(B71,Forb_Table,31,FALSE)),"",VLOOKUP(B71,Forb_Table,31,FALSE))</f>
        <v>8</v>
      </c>
      <c r="H71" s="138">
        <f>IF(ISNA(VLOOKUP(B71,Forb_Table,25,FALSE)),"",VLOOKUP(B71,Forb_Table,25,FALSE))</f>
        <v>600</v>
      </c>
      <c r="I71" s="123">
        <f>IF(ISNA(VLOOKUP(B71,Forb_Table,28,FALSE)),"",VLOOKUP(B71,Forb_Table,28,FALSE))</f>
        <v>33.792470156106518</v>
      </c>
      <c r="J71" s="123">
        <f>IF(ISNA(VLOOKUP(B71,Forb_Table,21,FALSE)),"",VLOOKUP(B71,Forb_Table,21,FALSE))</f>
        <v>1.0357336956521739</v>
      </c>
      <c r="K71" s="135">
        <f>IF(D72&gt;0,D72,0)</f>
        <v>2.5000000000000001E-2</v>
      </c>
      <c r="L71" s="143">
        <f>IF(D71="",IF(E71="",IF(F71="",0,F71/I71*H71),E71*H71),E72*H71)</f>
        <v>17.755434782608695</v>
      </c>
      <c r="M71" s="148" t="str">
        <f>IF(ISNA(VLOOKUP(B71,Forb_Table,32,FALSE)),"",VLOOKUP(B71,Forb_Table,32,FALSE))</f>
        <v>Perennial Forb</v>
      </c>
      <c r="X71" s="7" t="s">
        <v>902</v>
      </c>
    </row>
    <row r="72" spans="1:24">
      <c r="A72" s="6"/>
      <c r="B72" s="698" t="str">
        <f>C71</f>
        <v xml:space="preserve">Chelone glabra  </v>
      </c>
      <c r="C72" s="149" t="str">
        <f>IF(ISERROR(VLOOKUP(B71,Forb_Table,30,FALSE)),"",VLOOKUP(B71,Forb_Table,30,FALSE))</f>
        <v>Summer, Fall</v>
      </c>
      <c r="D72" s="356">
        <f>IF(E71="",IF(F71="","",F71/$F$165),F72/$F$165)</f>
        <v>2.5000000000000001E-2</v>
      </c>
      <c r="E72" s="381">
        <f>IF(D71="",IF(F71="","",F71/I71),J71*D71)</f>
        <v>2.9592391304347827E-2</v>
      </c>
      <c r="F72" s="381" t="str">
        <f>IF(D71="",IF(E71="","",E71*I71),E72*I71)</f>
        <v/>
      </c>
      <c r="G72" s="704">
        <f>G71</f>
        <v>8</v>
      </c>
      <c r="H72" s="130"/>
      <c r="I72" s="706"/>
      <c r="J72" s="707"/>
      <c r="K72" s="707"/>
      <c r="L72" s="708"/>
      <c r="M72" s="701" t="str">
        <f>M71</f>
        <v>Perennial Forb</v>
      </c>
    </row>
    <row r="73" spans="1:24">
      <c r="A73" s="6">
        <v>6</v>
      </c>
      <c r="B73" s="146" t="s">
        <v>385</v>
      </c>
      <c r="C73" s="147" t="str">
        <f>IF(ISERROR(VLOOKUP(B73,Forb_Table,2,FALSE)),"",VLOOKUP(B73,Forb_Table,2,FALSE))</f>
        <v xml:space="preserve">Echinacea pallida  </v>
      </c>
      <c r="D73" s="354"/>
      <c r="E73" s="379"/>
      <c r="F73" s="380">
        <v>0.5</v>
      </c>
      <c r="G73" s="123">
        <f>IF(ISNA(VLOOKUP(B73,Forb_Table,31,FALSE)),"",VLOOKUP(B73,Forb_Table,31,FALSE))</f>
        <v>7</v>
      </c>
      <c r="H73" s="138">
        <f>IF(ISNA(VLOOKUP(B73,Forb_Table,25,FALSE)),"",VLOOKUP(B73,Forb_Table,25,FALSE))</f>
        <v>90</v>
      </c>
      <c r="I73" s="123">
        <f>IF(ISNA(VLOOKUP(B73,Forb_Table,28,FALSE)),"",VLOOKUP(B73,Forb_Table,28,FALSE))</f>
        <v>1.9100091827364554</v>
      </c>
      <c r="J73" s="123">
        <f>IF(ISNA(VLOOKUP(B73,Forb_Table,21,FALSE)),"",VLOOKUP(B73,Forb_Table,21,FALSE))</f>
        <v>18.32451923076923</v>
      </c>
      <c r="K73" s="135">
        <f>IF(D74&gt;0,D74,0)</f>
        <v>1.2500000000000001E-2</v>
      </c>
      <c r="L73" s="143">
        <f>IF(D73="",IF(E73="",IF(F73="",0,F73/I73*H73),E73*H73),E74*H73)</f>
        <v>23.560096153846153</v>
      </c>
      <c r="M73" s="148" t="str">
        <f>IF(ISNA(VLOOKUP(B73,Forb_Table,32,FALSE)),"",VLOOKUP(B73,Forb_Table,32,FALSE))</f>
        <v>Perennial Forb</v>
      </c>
      <c r="X73" s="7" t="s">
        <v>902</v>
      </c>
    </row>
    <row r="74" spans="1:24">
      <c r="A74" s="6"/>
      <c r="B74" s="698" t="str">
        <f>C73</f>
        <v xml:space="preserve">Echinacea pallida  </v>
      </c>
      <c r="C74" s="149" t="str">
        <f>IF(ISERROR(VLOOKUP(B73,Forb_Table,30,FALSE)),"",VLOOKUP(B73,Forb_Table,30,FALSE))</f>
        <v>Summer</v>
      </c>
      <c r="D74" s="356">
        <f>IF(E73="",IF(F73="","",F73/$F$165),F74/$F$165)</f>
        <v>1.2500000000000001E-2</v>
      </c>
      <c r="E74" s="381">
        <f>IF(D73="",IF(F73="","",F73/I73),J73*D73)</f>
        <v>0.26177884615384617</v>
      </c>
      <c r="F74" s="381" t="str">
        <f>IF(D73="",IF(E73="","",E73*I73),E74*I73)</f>
        <v/>
      </c>
      <c r="G74" s="704">
        <f>G73</f>
        <v>7</v>
      </c>
      <c r="H74" s="130"/>
      <c r="I74" s="706"/>
      <c r="J74" s="707"/>
      <c r="K74" s="707"/>
      <c r="L74" s="708"/>
      <c r="M74" s="701" t="str">
        <f>M73</f>
        <v>Perennial Forb</v>
      </c>
    </row>
    <row r="75" spans="1:24">
      <c r="A75" s="6">
        <v>7</v>
      </c>
      <c r="B75" s="146" t="s">
        <v>416</v>
      </c>
      <c r="C75" s="147" t="str">
        <f>IF(ISERROR(VLOOKUP(B75,Forb_Table,2,FALSE)),"",VLOOKUP(B75,Forb_Table,2,FALSE))</f>
        <v xml:space="preserve">Eryngium yuccifolium  </v>
      </c>
      <c r="D75" s="354"/>
      <c r="E75" s="379"/>
      <c r="F75" s="380">
        <v>0.3</v>
      </c>
      <c r="G75" s="123">
        <f>IF(ISNA(VLOOKUP(B75,Forb_Table,31,FALSE)),"",VLOOKUP(B75,Forb_Table,31,FALSE))</f>
        <v>8</v>
      </c>
      <c r="H75" s="138">
        <f>IF(ISNA(VLOOKUP(B75,Forb_Table,25,FALSE)),"",VLOOKUP(B75,Forb_Table,25,FALSE))</f>
        <v>90</v>
      </c>
      <c r="I75" s="123">
        <f>IF(ISNA(VLOOKUP(B75,Forb_Table,28,FALSE)),"",VLOOKUP(B75,Forb_Table,28,FALSE))</f>
        <v>2.7548209366391183</v>
      </c>
      <c r="J75" s="123">
        <f>IF(ISNA(VLOOKUP(B75,Forb_Table,21,FALSE)),"",VLOOKUP(B75,Forb_Table,21,FALSE))</f>
        <v>12.705</v>
      </c>
      <c r="K75" s="135">
        <f>IF(D76&gt;0,D76,0)</f>
        <v>7.4999999999999997E-3</v>
      </c>
      <c r="L75" s="143">
        <f>IF(D75="",IF(E75="",IF(F75="",0,F75/I75*H75),E75*H75),E76*H75)</f>
        <v>9.8010000000000002</v>
      </c>
      <c r="M75" s="148" t="str">
        <f>IF(ISNA(VLOOKUP(B75,Forb_Table,32,FALSE)),"",VLOOKUP(B75,Forb_Table,32,FALSE))</f>
        <v>Perennial Forb</v>
      </c>
      <c r="X75" s="7" t="s">
        <v>902</v>
      </c>
    </row>
    <row r="76" spans="1:24">
      <c r="A76" s="6"/>
      <c r="B76" s="698" t="str">
        <f>C75</f>
        <v xml:space="preserve">Eryngium yuccifolium  </v>
      </c>
      <c r="C76" s="149" t="str">
        <f>IF(ISERROR(VLOOKUP(B75,Forb_Table,30,FALSE)),"",VLOOKUP(B75,Forb_Table,30,FALSE))</f>
        <v>Summer, Fall</v>
      </c>
      <c r="D76" s="356">
        <f>IF(E75="",IF(F75="","",F75/$F$165),F76/$F$165)</f>
        <v>7.4999999999999997E-3</v>
      </c>
      <c r="E76" s="381">
        <f>IF(D75="",IF(F75="","",F75/I75),J75*D75)</f>
        <v>0.1089</v>
      </c>
      <c r="F76" s="381" t="str">
        <f>IF(D75="",IF(E75="","",E75*I75),E76*I75)</f>
        <v/>
      </c>
      <c r="G76" s="704">
        <f>G75</f>
        <v>8</v>
      </c>
      <c r="H76" s="130"/>
      <c r="I76" s="706"/>
      <c r="J76" s="707"/>
      <c r="K76" s="707"/>
      <c r="L76" s="708"/>
      <c r="M76" s="701" t="str">
        <f>M75</f>
        <v>Perennial Forb</v>
      </c>
    </row>
    <row r="77" spans="1:24">
      <c r="A77" s="6">
        <v>8</v>
      </c>
      <c r="B77" s="146" t="s">
        <v>1300</v>
      </c>
      <c r="C77" s="147" t="str">
        <f>IF(ISERROR(VLOOKUP(B77,Forb_Table,2,FALSE)),"",VLOOKUP(B77,Forb_Table,2,FALSE))</f>
        <v xml:space="preserve">Eupatoriadelphus maculatus </v>
      </c>
      <c r="D77" s="354"/>
      <c r="E77" s="379"/>
      <c r="F77" s="380">
        <v>1</v>
      </c>
      <c r="G77" s="123">
        <f>IF(ISNA(VLOOKUP(B77,Forb_Table,31,FALSE)),"",VLOOKUP(B77,Forb_Table,31,FALSE))</f>
        <v>5</v>
      </c>
      <c r="H77" s="138">
        <f>IF(ISNA(VLOOKUP(B77,Forb_Table,25,FALSE)),"",VLOOKUP(B77,Forb_Table,25,FALSE))</f>
        <v>300</v>
      </c>
      <c r="I77" s="123">
        <f>IF(ISNA(VLOOKUP(B77,Forb_Table,28,FALSE)),"",VLOOKUP(B77,Forb_Table,28,FALSE))</f>
        <v>34.894398530762167</v>
      </c>
      <c r="J77" s="123">
        <f>IF(ISNA(VLOOKUP(B77,Forb_Table,21,FALSE)),"",VLOOKUP(B77,Forb_Table,21,FALSE))</f>
        <v>1.0030263157894737</v>
      </c>
      <c r="K77" s="135">
        <f>IF(D78&gt;0,D78,0)</f>
        <v>2.5000000000000001E-2</v>
      </c>
      <c r="L77" s="143">
        <f>IF(D77="",IF(E77="",IF(F77="",0,F77/I77*H77),E77*H77),E78*H77)</f>
        <v>8.5973684210526322</v>
      </c>
      <c r="M77" s="148" t="str">
        <f>IF(ISNA(VLOOKUP(B77,Forb_Table,32,FALSE)),"",VLOOKUP(B77,Forb_Table,32,FALSE))</f>
        <v>Perennial Forb</v>
      </c>
      <c r="X77" s="7" t="s">
        <v>902</v>
      </c>
    </row>
    <row r="78" spans="1:24">
      <c r="A78" s="6"/>
      <c r="B78" s="698" t="str">
        <f>C77</f>
        <v xml:space="preserve">Eupatoriadelphus maculatus </v>
      </c>
      <c r="C78" s="149" t="str">
        <f>IF(ISERROR(VLOOKUP(B77,Forb_Table,30,FALSE)),"",VLOOKUP(B77,Forb_Table,30,FALSE))</f>
        <v>Summer</v>
      </c>
      <c r="D78" s="356">
        <f>IF(E77="",IF(F77="","",F77/$F$165),F78/$F$165)</f>
        <v>2.5000000000000001E-2</v>
      </c>
      <c r="E78" s="381">
        <f>IF(D77="",IF(F77="","",F77/I77),J77*D77)</f>
        <v>2.8657894736842104E-2</v>
      </c>
      <c r="F78" s="381" t="str">
        <f>IF(D77="",IF(E77="","",E77*I77),E78*I77)</f>
        <v/>
      </c>
      <c r="G78" s="704">
        <f>G77</f>
        <v>5</v>
      </c>
      <c r="H78" s="130"/>
      <c r="I78" s="706"/>
      <c r="J78" s="707"/>
      <c r="K78" s="707"/>
      <c r="L78" s="708"/>
      <c r="M78" s="701" t="str">
        <f>M77</f>
        <v>Perennial Forb</v>
      </c>
    </row>
    <row r="79" spans="1:24">
      <c r="A79" s="6">
        <v>9</v>
      </c>
      <c r="B79" s="146" t="s">
        <v>381</v>
      </c>
      <c r="C79" s="147" t="str">
        <f>IF(ISERROR(VLOOKUP(B79,Forb_Table,2,FALSE)),"",VLOOKUP(B79,Forb_Table,2,FALSE))</f>
        <v xml:space="preserve">Galium boreale  </v>
      </c>
      <c r="D79" s="354"/>
      <c r="E79" s="379"/>
      <c r="F79" s="380">
        <v>0.7</v>
      </c>
      <c r="G79" s="123">
        <f>IF(ISNA(VLOOKUP(B79,Forb_Table,31,FALSE)),"",VLOOKUP(B79,Forb_Table,31,FALSE))</f>
        <v>7</v>
      </c>
      <c r="H79" s="138">
        <f>IF(ISNA(VLOOKUP(B79,Forb_Table,25,FALSE)),"",VLOOKUP(B79,Forb_Table,25,FALSE))</f>
        <v>450</v>
      </c>
      <c r="I79" s="123">
        <f>IF(ISNA(VLOOKUP(B79,Forb_Table,28,FALSE)),"",VLOOKUP(B79,Forb_Table,28,FALSE))</f>
        <v>25.711662075298438</v>
      </c>
      <c r="J79" s="123">
        <f>IF(ISNA(VLOOKUP(B79,Forb_Table,21,FALSE)),"",VLOOKUP(B79,Forb_Table,21,FALSE))</f>
        <v>1.3612500000000001</v>
      </c>
      <c r="K79" s="135">
        <f>IF(D80&gt;0,D80,0)</f>
        <v>1.7499999999999998E-2</v>
      </c>
      <c r="L79" s="143">
        <f>IF(D79="",IF(E79="",IF(F79="",0,F79/I79*H79),E79*H79),E80*H79)</f>
        <v>12.251249999999999</v>
      </c>
      <c r="M79" s="148" t="str">
        <f>IF(ISNA(VLOOKUP(B79,Forb_Table,32,FALSE)),"",VLOOKUP(B79,Forb_Table,32,FALSE))</f>
        <v>Perennial Forb</v>
      </c>
      <c r="X79" s="7" t="s">
        <v>902</v>
      </c>
    </row>
    <row r="80" spans="1:24">
      <c r="A80" s="6"/>
      <c r="B80" s="698" t="str">
        <f>C79</f>
        <v xml:space="preserve">Galium boreale  </v>
      </c>
      <c r="C80" s="149" t="str">
        <f>IF(ISERROR(VLOOKUP(B79,Forb_Table,30,FALSE)),"",VLOOKUP(B79,Forb_Table,30,FALSE))</f>
        <v>Summer</v>
      </c>
      <c r="D80" s="356">
        <f>IF(E79="",IF(F79="","",F79/$F$165),F80/$F$165)</f>
        <v>1.7499999999999998E-2</v>
      </c>
      <c r="E80" s="381">
        <f>IF(D79="",IF(F79="","",F79/I79),J79*D79)</f>
        <v>2.7224999999999999E-2</v>
      </c>
      <c r="F80" s="381" t="str">
        <f>IF(D79="",IF(E79="","",E79*I79),E80*I79)</f>
        <v/>
      </c>
      <c r="G80" s="704">
        <f>G79</f>
        <v>7</v>
      </c>
      <c r="H80" s="130"/>
      <c r="I80" s="706"/>
      <c r="J80" s="707"/>
      <c r="K80" s="707"/>
      <c r="L80" s="708"/>
      <c r="M80" s="701" t="str">
        <f>M79</f>
        <v>Perennial Forb</v>
      </c>
    </row>
    <row r="81" spans="1:24">
      <c r="A81" s="6">
        <v>10</v>
      </c>
      <c r="B81" s="146" t="s">
        <v>1088</v>
      </c>
      <c r="C81" s="147" t="str">
        <f>IF(ISERROR(VLOOKUP(B81,Forb_Table,2,FALSE)),"",VLOOKUP(B81,Forb_Table,2,FALSE))</f>
        <v xml:space="preserve">Helenium autumnale  </v>
      </c>
      <c r="D81" s="354"/>
      <c r="E81" s="379"/>
      <c r="F81" s="380">
        <v>1</v>
      </c>
      <c r="G81" s="123">
        <f>IF(ISNA(VLOOKUP(B81,Forb_Table,31,FALSE)),"",VLOOKUP(B81,Forb_Table,31,FALSE))</f>
        <v>4</v>
      </c>
      <c r="H81" s="138">
        <f>IF(ISNA(VLOOKUP(B81,Forb_Table,25,FALSE)),"",VLOOKUP(B81,Forb_Table,25,FALSE))</f>
        <v>150</v>
      </c>
      <c r="I81" s="123">
        <f>IF(ISNA(VLOOKUP(B81,Forb_Table,28,FALSE)),"",VLOOKUP(B81,Forb_Table,28,FALSE))</f>
        <v>47.750229568411385</v>
      </c>
      <c r="J81" s="123">
        <f>IF(ISNA(VLOOKUP(B81,Forb_Table,21,FALSE)),"",VLOOKUP(B81,Forb_Table,21,FALSE))</f>
        <v>0.73298076923076927</v>
      </c>
      <c r="K81" s="135">
        <f>IF(D82&gt;0,D82,0)</f>
        <v>2.5000000000000001E-2</v>
      </c>
      <c r="L81" s="143">
        <f>IF(D81="",IF(E81="",IF(F81="",0,F81/I81*H81),E81*H81),E82*H81)</f>
        <v>3.141346153846154</v>
      </c>
      <c r="M81" s="148" t="str">
        <f>IF(ISNA(VLOOKUP(B81,Forb_Table,32,FALSE)),"",VLOOKUP(B81,Forb_Table,32,FALSE))</f>
        <v>Perennial Forb</v>
      </c>
      <c r="X81" s="7" t="s">
        <v>902</v>
      </c>
    </row>
    <row r="82" spans="1:24">
      <c r="B82" s="698" t="str">
        <f>C81</f>
        <v xml:space="preserve">Helenium autumnale  </v>
      </c>
      <c r="C82" s="149" t="str">
        <f>IF(ISERROR(VLOOKUP(B81,Forb_Table,30,FALSE)),"",VLOOKUP(B81,Forb_Table,30,FALSE))</f>
        <v>Summer, Fall</v>
      </c>
      <c r="D82" s="356">
        <f>IF(E81="",IF(F81="","",F81/$F$165),F82/$F$165)</f>
        <v>2.5000000000000001E-2</v>
      </c>
      <c r="E82" s="381">
        <f>IF(D81="",IF(F81="","",F81/I81),J81*D81)</f>
        <v>2.0942307692307694E-2</v>
      </c>
      <c r="F82" s="381" t="str">
        <f>IF(D81="",IF(E81="","",E81*I81),E82*I81)</f>
        <v/>
      </c>
      <c r="G82" s="704">
        <f>G81</f>
        <v>4</v>
      </c>
      <c r="H82" s="130"/>
      <c r="I82" s="706"/>
      <c r="J82" s="707"/>
      <c r="K82" s="707"/>
      <c r="L82" s="708"/>
      <c r="M82" s="701" t="str">
        <f>M81</f>
        <v>Perennial Forb</v>
      </c>
    </row>
    <row r="83" spans="1:24">
      <c r="A83" s="6">
        <v>11</v>
      </c>
      <c r="B83" s="146" t="s">
        <v>1268</v>
      </c>
      <c r="C83" s="147" t="str">
        <f>IF(ISERROR(VLOOKUP(B83,Forb_Table,2,FALSE)),"",VLOOKUP(B83,Forb_Table,2,FALSE))</f>
        <v xml:space="preserve">Helianthus grosseserratus  </v>
      </c>
      <c r="D83" s="354"/>
      <c r="E83" s="379"/>
      <c r="F83" s="380">
        <v>0.2</v>
      </c>
      <c r="G83" s="123">
        <f>IF(ISNA(VLOOKUP(B83,Forb_Table,31,FALSE)),"",VLOOKUP(B83,Forb_Table,31,FALSE))</f>
        <v>4</v>
      </c>
      <c r="H83" s="138">
        <f>IF(ISNA(VLOOKUP(B83,Forb_Table,25,FALSE)),"",VLOOKUP(B83,Forb_Table,25,FALSE))</f>
        <v>450</v>
      </c>
      <c r="I83" s="123">
        <f>IF(ISNA(VLOOKUP(B83,Forb_Table,28,FALSE)),"",VLOOKUP(B83,Forb_Table,28,FALSE))</f>
        <v>5.5096418732782366</v>
      </c>
      <c r="J83" s="123">
        <f>IF(ISNA(VLOOKUP(B83,Forb_Table,21,FALSE)),"",VLOOKUP(B83,Forb_Table,21,FALSE))</f>
        <v>6.3525</v>
      </c>
      <c r="K83" s="135">
        <f>IF(D84&gt;0,D84,0)</f>
        <v>5.0000000000000001E-3</v>
      </c>
      <c r="L83" s="143">
        <f>IF(D83="",IF(E83="",IF(F83="",0,F83/I83*H83),E83*H83),E84*H83)</f>
        <v>16.335000000000004</v>
      </c>
      <c r="M83" s="148" t="str">
        <f>IF(ISNA(VLOOKUP(B83,Forb_Table,32,FALSE)),"",VLOOKUP(B83,Forb_Table,32,FALSE))</f>
        <v>Perennial Forb</v>
      </c>
      <c r="X83" s="7" t="s">
        <v>902</v>
      </c>
    </row>
    <row r="84" spans="1:24">
      <c r="A84" s="6"/>
      <c r="B84" s="698" t="str">
        <f>C83</f>
        <v xml:space="preserve">Helianthus grosseserratus  </v>
      </c>
      <c r="C84" s="149" t="str">
        <f>IF(ISERROR(VLOOKUP(B83,Forb_Table,30,FALSE)),"",VLOOKUP(B83,Forb_Table,30,FALSE))</f>
        <v>Summer, Fall</v>
      </c>
      <c r="D84" s="356">
        <f>IF(E83="",IF(F83="","",F83/$F$165),F84/$F$165)</f>
        <v>5.0000000000000001E-3</v>
      </c>
      <c r="E84" s="381">
        <f>IF(D83="",IF(F83="","",F83/I83),J83*D83)</f>
        <v>3.6300000000000006E-2</v>
      </c>
      <c r="F84" s="381" t="str">
        <f>IF(D83="",IF(E83="","",E83*I83),E84*I83)</f>
        <v/>
      </c>
      <c r="G84" s="704">
        <f>G83</f>
        <v>4</v>
      </c>
      <c r="H84" s="130"/>
      <c r="I84" s="706"/>
      <c r="J84" s="707"/>
      <c r="K84" s="707"/>
      <c r="L84" s="708"/>
      <c r="M84" s="701" t="str">
        <f>M83</f>
        <v>Perennial Forb</v>
      </c>
    </row>
    <row r="85" spans="1:24">
      <c r="A85" s="6">
        <v>12</v>
      </c>
      <c r="B85" s="146" t="s">
        <v>1304</v>
      </c>
      <c r="C85" s="147" t="str">
        <f>IF(ISERROR(VLOOKUP(B85,Forb_Table,2,FALSE)),"",VLOOKUP(B85,Forb_Table,2,FALSE))</f>
        <v xml:space="preserve">Hypericum ascyron  </v>
      </c>
      <c r="D85" s="354"/>
      <c r="E85" s="379"/>
      <c r="F85" s="380">
        <v>1</v>
      </c>
      <c r="G85" s="123">
        <f>IF(ISNA(VLOOKUP(B85,Forb_Table,31,FALSE)),"",VLOOKUP(B85,Forb_Table,31,FALSE))</f>
        <v>6</v>
      </c>
      <c r="H85" s="138">
        <f>IF(ISNA(VLOOKUP(B85,Forb_Table,25,FALSE)),"",VLOOKUP(B85,Forb_Table,25,FALSE))</f>
        <v>60</v>
      </c>
      <c r="I85" s="123">
        <f>IF(ISNA(VLOOKUP(B85,Forb_Table,28,FALSE)),"",VLOOKUP(B85,Forb_Table,28,FALSE))</f>
        <v>69.788797061524335</v>
      </c>
      <c r="J85" s="123">
        <f>IF(ISNA(VLOOKUP(B85,Forb_Table,21,FALSE)),"",VLOOKUP(B85,Forb_Table,21,FALSE))</f>
        <v>0.50151315789473683</v>
      </c>
      <c r="K85" s="135">
        <f>IF(D86&gt;0,D86,0)</f>
        <v>2.5000000000000001E-2</v>
      </c>
      <c r="L85" s="143">
        <f>IF(D85="",IF(E85="",IF(F85="",0,F85/I85*H85),E85*H85),E86*H85)</f>
        <v>0.85973684210526313</v>
      </c>
      <c r="M85" s="148" t="str">
        <f>IF(ISNA(VLOOKUP(B85,Forb_Table,32,FALSE)),"",VLOOKUP(B85,Forb_Table,32,FALSE))</f>
        <v>Perennial Forb</v>
      </c>
      <c r="X85" s="7" t="s">
        <v>902</v>
      </c>
    </row>
    <row r="86" spans="1:24">
      <c r="A86" s="6"/>
      <c r="B86" s="698" t="str">
        <f>C85</f>
        <v xml:space="preserve">Hypericum ascyron  </v>
      </c>
      <c r="C86" s="149" t="str">
        <f>IF(ISERROR(VLOOKUP(B85,Forb_Table,30,FALSE)),"",VLOOKUP(B85,Forb_Table,30,FALSE))</f>
        <v>Summer</v>
      </c>
      <c r="D86" s="356">
        <f>IF(E85="",IF(F85="","",F85/$F$165),F86/$F$165)</f>
        <v>2.5000000000000001E-2</v>
      </c>
      <c r="E86" s="381">
        <f>IF(D85="",IF(F85="","",F85/I85),J85*D85)</f>
        <v>1.4328947368421052E-2</v>
      </c>
      <c r="F86" s="381" t="str">
        <f>IF(D85="",IF(E85="","",E85*I85),E86*I85)</f>
        <v/>
      </c>
      <c r="G86" s="704">
        <f>G85</f>
        <v>6</v>
      </c>
      <c r="H86" s="130"/>
      <c r="I86" s="706"/>
      <c r="J86" s="707"/>
      <c r="K86" s="707"/>
      <c r="L86" s="708"/>
      <c r="M86" s="701" t="str">
        <f>M85</f>
        <v>Perennial Forb</v>
      </c>
    </row>
    <row r="87" spans="1:24">
      <c r="A87" s="6">
        <v>13</v>
      </c>
      <c r="B87" s="146" t="s">
        <v>1302</v>
      </c>
      <c r="C87" s="147" t="str">
        <f>IF(ISERROR(VLOOKUP(B87,Forb_Table,2,FALSE)),"",VLOOKUP(B87,Forb_Table,2,FALSE))</f>
        <v xml:space="preserve">Hypoxis hirsuta  </v>
      </c>
      <c r="D87" s="354"/>
      <c r="E87" s="379"/>
      <c r="F87" s="380">
        <v>0.1</v>
      </c>
      <c r="G87" s="123">
        <f>IF(ISNA(VLOOKUP(B87,Forb_Table,31,FALSE)),"",VLOOKUP(B87,Forb_Table,31,FALSE))</f>
        <v>7</v>
      </c>
      <c r="H87" s="138">
        <f>IF(ISNA(VLOOKUP(B87,Forb_Table,25,FALSE)),"",VLOOKUP(B87,Forb_Table,25,FALSE))</f>
        <v>3840</v>
      </c>
      <c r="I87" s="123">
        <f>IF(ISNA(VLOOKUP(B87,Forb_Table,28,FALSE)),"",VLOOKUP(B87,Forb_Table,28,FALSE))</f>
        <v>29.38475665748393</v>
      </c>
      <c r="J87" s="123">
        <f>IF(ISNA(VLOOKUP(B87,Forb_Table,21,FALSE)),"",VLOOKUP(B87,Forb_Table,21,FALSE))</f>
        <v>1.1910937500000001</v>
      </c>
      <c r="K87" s="135">
        <f>IF(D88&gt;0,D88,0)</f>
        <v>2.5000000000000001E-3</v>
      </c>
      <c r="L87" s="143">
        <f>IF(D87="",IF(E87="",IF(F87="",0,F87/I87*H87),E87*H87),E88*H87)</f>
        <v>13.068000000000001</v>
      </c>
      <c r="M87" s="148" t="str">
        <f>IF(ISNA(VLOOKUP(B87,Forb_Table,32,FALSE)),"",VLOOKUP(B87,Forb_Table,32,FALSE))</f>
        <v>Perennial Forb</v>
      </c>
      <c r="X87" s="7" t="s">
        <v>902</v>
      </c>
    </row>
    <row r="88" spans="1:24">
      <c r="A88" s="6"/>
      <c r="B88" s="698" t="str">
        <f>C87</f>
        <v xml:space="preserve">Hypoxis hirsuta  </v>
      </c>
      <c r="C88" s="149" t="str">
        <f>IF(ISERROR(VLOOKUP(B87,Forb_Table,30,FALSE)),"",VLOOKUP(B87,Forb_Table,30,FALSE))</f>
        <v xml:space="preserve">Spring, Summer </v>
      </c>
      <c r="D88" s="356">
        <f>IF(E87="",IF(F87="","",F87/$F$165),F88/$F$165)</f>
        <v>2.5000000000000001E-3</v>
      </c>
      <c r="E88" s="381">
        <f>IF(D87="",IF(F87="","",F87/I87),J87*D87)</f>
        <v>3.4031250000000003E-3</v>
      </c>
      <c r="F88" s="381" t="str">
        <f>IF(D87="",IF(E87="","",E87*I87),E88*I87)</f>
        <v/>
      </c>
      <c r="G88" s="704">
        <f>G87</f>
        <v>7</v>
      </c>
      <c r="H88" s="130"/>
      <c r="I88" s="706"/>
      <c r="J88" s="707"/>
      <c r="K88" s="707"/>
      <c r="L88" s="708"/>
      <c r="M88" s="701" t="str">
        <f>M87</f>
        <v>Perennial Forb</v>
      </c>
    </row>
    <row r="89" spans="1:24">
      <c r="A89" s="6">
        <v>14</v>
      </c>
      <c r="B89" s="146" t="s">
        <v>393</v>
      </c>
      <c r="C89" s="147" t="str">
        <f>IF(ISERROR(VLOOKUP(B89,Forb_Table,2,FALSE)),"",VLOOKUP(B89,Forb_Table,2,FALSE))</f>
        <v xml:space="preserve">Liatris pycnostachya  </v>
      </c>
      <c r="D89" s="354"/>
      <c r="E89" s="379"/>
      <c r="F89" s="380">
        <v>0.3</v>
      </c>
      <c r="G89" s="123">
        <f>IF(ISNA(VLOOKUP(B89,Forb_Table,31,FALSE)),"",VLOOKUP(B89,Forb_Table,31,FALSE))</f>
        <v>6</v>
      </c>
      <c r="H89" s="138">
        <f>IF(ISNA(VLOOKUP(B89,Forb_Table,25,FALSE)),"",VLOOKUP(B89,Forb_Table,25,FALSE))</f>
        <v>120</v>
      </c>
      <c r="I89" s="123">
        <f>IF(ISNA(VLOOKUP(B89,Forb_Table,28,FALSE)),"",VLOOKUP(B89,Forb_Table,28,FALSE))</f>
        <v>4.0404040404040407</v>
      </c>
      <c r="J89" s="123">
        <f>IF(ISNA(VLOOKUP(B89,Forb_Table,21,FALSE)),"",VLOOKUP(B89,Forb_Table,21,FALSE))</f>
        <v>8.6624999999999996</v>
      </c>
      <c r="K89" s="135">
        <f>IF(D90&gt;0,D90,0)</f>
        <v>7.4999999999999997E-3</v>
      </c>
      <c r="L89" s="143">
        <f>IF(D89="",IF(E89="",IF(F89="",0,F89/I89*H89),E89*H89),E90*H89)</f>
        <v>8.91</v>
      </c>
      <c r="M89" s="148" t="str">
        <f>IF(ISNA(VLOOKUP(B89,Forb_Table,32,FALSE)),"",VLOOKUP(B89,Forb_Table,32,FALSE))</f>
        <v>Perennial Forb</v>
      </c>
      <c r="X89" s="7" t="s">
        <v>902</v>
      </c>
    </row>
    <row r="90" spans="1:24">
      <c r="A90" s="6"/>
      <c r="B90" s="698" t="str">
        <f>C89</f>
        <v xml:space="preserve">Liatris pycnostachya  </v>
      </c>
      <c r="C90" s="149" t="str">
        <f>IF(ISERROR(VLOOKUP(B89,Forb_Table,30,FALSE)),"",VLOOKUP(B89,Forb_Table,30,FALSE))</f>
        <v>Summer, Fall</v>
      </c>
      <c r="D90" s="356">
        <f>IF(E89="",IF(F89="","",F89/$F$165),F90/$F$165)</f>
        <v>7.4999999999999997E-3</v>
      </c>
      <c r="E90" s="381">
        <f>IF(D89="",IF(F89="","",F89/I89),J89*D89)</f>
        <v>7.4249999999999997E-2</v>
      </c>
      <c r="F90" s="381" t="str">
        <f>IF(D89="",IF(E89="","",E89*I89),E90*I89)</f>
        <v/>
      </c>
      <c r="G90" s="704">
        <f>G89</f>
        <v>6</v>
      </c>
      <c r="H90" s="130"/>
      <c r="I90" s="706"/>
      <c r="J90" s="707"/>
      <c r="K90" s="707"/>
      <c r="L90" s="708"/>
      <c r="M90" s="701" t="str">
        <f>M89</f>
        <v>Perennial Forb</v>
      </c>
    </row>
    <row r="91" spans="1:24">
      <c r="A91" s="6">
        <v>15</v>
      </c>
      <c r="B91" s="146" t="s">
        <v>312</v>
      </c>
      <c r="C91" s="147" t="str">
        <f>IF(ISERROR(VLOOKUP(B91,Forb_Table,2,FALSE)),"",VLOOKUP(B91,Forb_Table,2,FALSE))</f>
        <v xml:space="preserve">Lobelia cardinalis  </v>
      </c>
      <c r="D91" s="354"/>
      <c r="E91" s="379"/>
      <c r="F91" s="380">
        <v>1</v>
      </c>
      <c r="G91" s="123">
        <f>IF(ISNA(VLOOKUP(B91,Forb_Table,31,FALSE)),"",VLOOKUP(B91,Forb_Table,31,FALSE))</f>
        <v>5</v>
      </c>
      <c r="H91" s="138">
        <f>IF(ISNA(VLOOKUP(B91,Forb_Table,25,FALSE)),"",VLOOKUP(B91,Forb_Table,25,FALSE))</f>
        <v>1200</v>
      </c>
      <c r="I91" s="123">
        <f>IF(ISNA(VLOOKUP(B91,Forb_Table,28,FALSE)),"",VLOOKUP(B91,Forb_Table,28,FALSE))</f>
        <v>146.92378328741964</v>
      </c>
      <c r="J91" s="123">
        <f>IF(ISNA(VLOOKUP(B91,Forb_Table,21,FALSE)),"",VLOOKUP(B91,Forb_Table,21,FALSE))</f>
        <v>0.23821875000000001</v>
      </c>
      <c r="K91" s="135">
        <f>IF(D92&gt;0,D92,0)</f>
        <v>2.5000000000000001E-2</v>
      </c>
      <c r="L91" s="143">
        <f>IF(D91="",IF(E91="",IF(F91="",0,F91/I91*H91),E91*H91),E92*H91)</f>
        <v>8.1675000000000004</v>
      </c>
      <c r="M91" s="148" t="str">
        <f>IF(ISNA(VLOOKUP(B91,Forb_Table,32,FALSE)),"",VLOOKUP(B91,Forb_Table,32,FALSE))</f>
        <v>Perennial Forb</v>
      </c>
      <c r="X91" s="7" t="s">
        <v>902</v>
      </c>
    </row>
    <row r="92" spans="1:24">
      <c r="B92" s="698" t="str">
        <f>C91</f>
        <v xml:space="preserve">Lobelia cardinalis  </v>
      </c>
      <c r="C92" s="149" t="str">
        <f>IF(ISERROR(VLOOKUP(B91,Forb_Table,30,FALSE)),"",VLOOKUP(B91,Forb_Table,30,FALSE))</f>
        <v>Summer, Fall</v>
      </c>
      <c r="D92" s="356">
        <f>IF(E91="",IF(F91="","",F91/$F$165),F92/$F$165)</f>
        <v>2.5000000000000001E-2</v>
      </c>
      <c r="E92" s="381">
        <f>IF(D91="",IF(F91="","",F91/I91),J91*D91)</f>
        <v>6.8062500000000007E-3</v>
      </c>
      <c r="F92" s="381" t="str">
        <f>IF(D91="",IF(E91="","",E91*I91),E92*I91)</f>
        <v/>
      </c>
      <c r="G92" s="704">
        <f>G91</f>
        <v>5</v>
      </c>
      <c r="H92" s="130"/>
      <c r="I92" s="706"/>
      <c r="J92" s="707"/>
      <c r="K92" s="707"/>
      <c r="L92" s="708"/>
      <c r="M92" s="701" t="str">
        <f>M91</f>
        <v>Perennial Forb</v>
      </c>
    </row>
    <row r="93" spans="1:24">
      <c r="A93" s="6">
        <v>16</v>
      </c>
      <c r="B93" s="146" t="s">
        <v>1257</v>
      </c>
      <c r="C93" s="147" t="str">
        <f>IF(ISERROR(VLOOKUP(B93,Forb_Table,2,FALSE)),"",VLOOKUP(B93,Forb_Table,2,FALSE))</f>
        <v xml:space="preserve">Lysimachia quadriflora  </v>
      </c>
      <c r="D93" s="354"/>
      <c r="E93" s="379"/>
      <c r="F93" s="380">
        <v>0.45</v>
      </c>
      <c r="G93" s="123">
        <f>IF(ISNA(VLOOKUP(B93,Forb_Table,31,FALSE)),"",VLOOKUP(B93,Forb_Table,31,FALSE))</f>
        <v>7</v>
      </c>
      <c r="H93" s="138">
        <f>IF(ISNA(VLOOKUP(B93,Forb_Table,25,FALSE)),"",VLOOKUP(B93,Forb_Table,25,FALSE))</f>
        <v>1280</v>
      </c>
      <c r="I93" s="123">
        <f>IF(ISNA(VLOOKUP(B93,Forb_Table,28,FALSE)),"",VLOOKUP(B93,Forb_Table,28,FALSE))</f>
        <v>33.057851239669418</v>
      </c>
      <c r="J93" s="123">
        <f>IF(ISNA(VLOOKUP(B93,Forb_Table,21,FALSE)),"",VLOOKUP(B93,Forb_Table,21,FALSE))</f>
        <v>1.0587500000000001</v>
      </c>
      <c r="K93" s="135">
        <f>IF(D94&gt;0,D94,0)</f>
        <v>1.125E-2</v>
      </c>
      <c r="L93" s="143">
        <f>IF(D93="",IF(E93="",IF(F93="",0,F93/I93*H93),E93*H93),E94*H93)</f>
        <v>17.424000000000003</v>
      </c>
      <c r="M93" s="148" t="str">
        <f>IF(ISNA(VLOOKUP(B93,Forb_Table,32,FALSE)),"",VLOOKUP(B93,Forb_Table,32,FALSE))</f>
        <v>Perennial Forb</v>
      </c>
      <c r="X93" s="7" t="s">
        <v>902</v>
      </c>
    </row>
    <row r="94" spans="1:24">
      <c r="A94" s="6"/>
      <c r="B94" s="698" t="str">
        <f>C93</f>
        <v xml:space="preserve">Lysimachia quadriflora  </v>
      </c>
      <c r="C94" s="149" t="str">
        <f>IF(ISERROR(VLOOKUP(B93,Forb_Table,30,FALSE)),"",VLOOKUP(B93,Forb_Table,30,FALSE))</f>
        <v>Summer</v>
      </c>
      <c r="D94" s="356">
        <f>IF(E93="",IF(F93="","",F93/$F$165),F94/$F$165)</f>
        <v>1.125E-2</v>
      </c>
      <c r="E94" s="381">
        <f>IF(D93="",IF(F93="","",F93/I93),J93*D93)</f>
        <v>1.3612500000000001E-2</v>
      </c>
      <c r="F94" s="381" t="str">
        <f>IF(D93="",IF(E93="","",E93*I93),E94*I93)</f>
        <v/>
      </c>
      <c r="G94" s="704">
        <f>G93</f>
        <v>7</v>
      </c>
      <c r="H94" s="130"/>
      <c r="I94" s="706"/>
      <c r="J94" s="707"/>
      <c r="K94" s="707"/>
      <c r="L94" s="708"/>
      <c r="M94" s="701" t="str">
        <f>M93</f>
        <v>Perennial Forb</v>
      </c>
    </row>
    <row r="95" spans="1:24">
      <c r="A95" s="6">
        <v>17</v>
      </c>
      <c r="B95" s="146" t="s">
        <v>1256</v>
      </c>
      <c r="C95" s="147" t="str">
        <f>IF(ISERROR(VLOOKUP(B95,Forb_Table,2,FALSE)),"",VLOOKUP(B95,Forb_Table,2,FALSE))</f>
        <v xml:space="preserve">Oenothera pilosella </v>
      </c>
      <c r="D95" s="354"/>
      <c r="E95" s="379"/>
      <c r="F95" s="380">
        <v>0.1</v>
      </c>
      <c r="G95" s="123">
        <f>IF(ISNA(VLOOKUP(B95,Forb_Table,31,FALSE)),"",VLOOKUP(B95,Forb_Table,31,FALSE))</f>
        <v>7</v>
      </c>
      <c r="H95" s="138">
        <f>IF(ISNA(VLOOKUP(B95,Forb_Table,25,FALSE)),"",VLOOKUP(B95,Forb_Table,25,FALSE))</f>
        <v>2400</v>
      </c>
      <c r="I95" s="123">
        <f>IF(ISNA(VLOOKUP(B95,Forb_Table,28,FALSE)),"",VLOOKUP(B95,Forb_Table,28,FALSE))</f>
        <v>97.704315886134069</v>
      </c>
      <c r="J95" s="123">
        <f>IF(ISNA(VLOOKUP(B95,Forb_Table,21,FALSE)),"",VLOOKUP(B95,Forb_Table,21,FALSE))</f>
        <v>0.35822368421052631</v>
      </c>
      <c r="K95" s="135">
        <f>IF(D96&gt;0,D96,0)</f>
        <v>2.5000000000000001E-3</v>
      </c>
      <c r="L95" s="143">
        <f>IF(D95="",IF(E95="",IF(F95="",0,F95/I95*H95),E95*H95),E96*H95)</f>
        <v>2.456390977443609</v>
      </c>
      <c r="M95" s="148" t="str">
        <f>IF(ISNA(VLOOKUP(B95,Forb_Table,32,FALSE)),"",VLOOKUP(B95,Forb_Table,32,FALSE))</f>
        <v>Perennial Forb</v>
      </c>
      <c r="X95" s="7" t="s">
        <v>902</v>
      </c>
    </row>
    <row r="96" spans="1:24">
      <c r="B96" s="698" t="str">
        <f>C95</f>
        <v xml:space="preserve">Oenothera pilosella </v>
      </c>
      <c r="C96" s="149" t="str">
        <f>IF(ISERROR(VLOOKUP(B95,Forb_Table,30,FALSE)),"",VLOOKUP(B95,Forb_Table,30,FALSE))</f>
        <v>Spring, Summer</v>
      </c>
      <c r="D96" s="356">
        <f>IF(E95="",IF(F95="","",F95/$F$165),F96/$F$165)</f>
        <v>2.5000000000000001E-3</v>
      </c>
      <c r="E96" s="381">
        <f>IF(D95="",IF(F95="","",F95/I95),J95*D95)</f>
        <v>1.0234962406015038E-3</v>
      </c>
      <c r="F96" s="381" t="str">
        <f>IF(D95="",IF(E95="","",E95*I95),E96*I95)</f>
        <v/>
      </c>
      <c r="G96" s="704">
        <f>G95</f>
        <v>7</v>
      </c>
      <c r="H96" s="130"/>
      <c r="I96" s="706"/>
      <c r="J96" s="707"/>
      <c r="K96" s="707"/>
      <c r="L96" s="708"/>
      <c r="M96" s="701" t="str">
        <f>M95</f>
        <v>Perennial Forb</v>
      </c>
    </row>
    <row r="97" spans="1:24">
      <c r="A97" s="6">
        <v>18</v>
      </c>
      <c r="B97" s="146" t="s">
        <v>507</v>
      </c>
      <c r="C97" s="147" t="str">
        <f>IF(ISERROR(VLOOKUP(B97,Forb_Table,2,FALSE)),"",VLOOKUP(B97,Forb_Table,2,FALSE))</f>
        <v xml:space="preserve">Oligoneuron riddellii </v>
      </c>
      <c r="D97" s="354"/>
      <c r="E97" s="379"/>
      <c r="F97" s="380">
        <v>1.8</v>
      </c>
      <c r="G97" s="123">
        <f>IF(ISNA(VLOOKUP(B97,Forb_Table,31,FALSE)),"",VLOOKUP(B97,Forb_Table,31,FALSE))</f>
        <v>8</v>
      </c>
      <c r="H97" s="138">
        <f>IF(ISNA(VLOOKUP(B97,Forb_Table,25,FALSE)),"",VLOOKUP(B97,Forb_Table,25,FALSE))</f>
        <v>150</v>
      </c>
      <c r="I97" s="123">
        <f>IF(ISNA(VLOOKUP(B97,Forb_Table,28,FALSE)),"",VLOOKUP(B97,Forb_Table,28,FALSE))</f>
        <v>34.159779614325068</v>
      </c>
      <c r="J97" s="123">
        <f>IF(ISNA(VLOOKUP(B97,Forb_Table,21,FALSE)),"",VLOOKUP(B97,Forb_Table,21,FALSE))</f>
        <v>1.0245967741935484</v>
      </c>
      <c r="K97" s="135">
        <f>IF(D98&gt;0,D98,0)</f>
        <v>4.4999999999999998E-2</v>
      </c>
      <c r="L97" s="143">
        <f>IF(D97="",IF(E97="",IF(F97="",0,F97/I97*H97),E97*H97),E98*H97)</f>
        <v>7.9040322580645164</v>
      </c>
      <c r="M97" s="148" t="str">
        <f>IF(ISNA(VLOOKUP(B97,Forb_Table,32,FALSE)),"",VLOOKUP(B97,Forb_Table,32,FALSE))</f>
        <v>Perennial Forb</v>
      </c>
      <c r="X97" s="7" t="s">
        <v>902</v>
      </c>
    </row>
    <row r="98" spans="1:24">
      <c r="A98" s="6"/>
      <c r="B98" s="698" t="str">
        <f>C97</f>
        <v xml:space="preserve">Oligoneuron riddellii </v>
      </c>
      <c r="C98" s="149" t="str">
        <f>IF(ISERROR(VLOOKUP(B97,Forb_Table,30,FALSE)),"",VLOOKUP(B97,Forb_Table,30,FALSE))</f>
        <v>Summer, Fall</v>
      </c>
      <c r="D98" s="356">
        <f>IF(E97="",IF(F97="","",F97/$F$165),F98/$F$165)</f>
        <v>4.4999999999999998E-2</v>
      </c>
      <c r="E98" s="381">
        <f>IF(D97="",IF(F97="","",F97/I97),J97*D97)</f>
        <v>5.2693548387096778E-2</v>
      </c>
      <c r="F98" s="381" t="str">
        <f>IF(D97="",IF(E97="","",E97*I97),E98*I97)</f>
        <v/>
      </c>
      <c r="G98" s="704">
        <f>G97</f>
        <v>8</v>
      </c>
      <c r="H98" s="130"/>
      <c r="I98" s="706"/>
      <c r="J98" s="707"/>
      <c r="K98" s="707"/>
      <c r="L98" s="708"/>
      <c r="M98" s="701" t="str">
        <f>M97</f>
        <v>Perennial Forb</v>
      </c>
    </row>
    <row r="99" spans="1:24">
      <c r="A99" s="6">
        <v>19</v>
      </c>
      <c r="B99" s="146" t="s">
        <v>445</v>
      </c>
      <c r="C99" s="147" t="str">
        <f>IF(ISERROR(VLOOKUP(B99,Forb_Table,2,FALSE)),"",VLOOKUP(B99,Forb_Table,2,FALSE))</f>
        <v xml:space="preserve">Pedicularis lanceolata  </v>
      </c>
      <c r="D99" s="354"/>
      <c r="E99" s="379"/>
      <c r="F99" s="380">
        <v>1.8</v>
      </c>
      <c r="G99" s="123">
        <f>IF(ISNA(VLOOKUP(B99,Forb_Table,31,FALSE)),"",VLOOKUP(B99,Forb_Table,31,FALSE))</f>
        <v>7</v>
      </c>
      <c r="H99" s="138">
        <f>IF(ISNA(VLOOKUP(B99,Forb_Table,25,FALSE)),"",VLOOKUP(B99,Forb_Table,25,FALSE))</f>
        <v>120</v>
      </c>
      <c r="I99" s="123">
        <f>IF(ISNA(VLOOKUP(B99,Forb_Table,28,FALSE)),"",VLOOKUP(B99,Forb_Table,28,FALSE))</f>
        <v>16.161616161616163</v>
      </c>
      <c r="J99" s="123">
        <f>IF(ISNA(VLOOKUP(B99,Forb_Table,21,FALSE)),"",VLOOKUP(B99,Forb_Table,21,FALSE))</f>
        <v>2.1656249999999999</v>
      </c>
      <c r="K99" s="135">
        <f>IF(D100&gt;0,D100,0)</f>
        <v>4.4999999999999998E-2</v>
      </c>
      <c r="L99" s="143">
        <f>IF(D99="",IF(E99="",IF(F99="",0,F99/I99*H99),E99*H99),E100*H99)</f>
        <v>13.365</v>
      </c>
      <c r="M99" s="148" t="str">
        <f>IF(ISNA(VLOOKUP(B99,Forb_Table,32,FALSE)),"",VLOOKUP(B99,Forb_Table,32,FALSE))</f>
        <v>Perennial Forb, Hemiparasite</v>
      </c>
      <c r="X99" s="7" t="s">
        <v>902</v>
      </c>
    </row>
    <row r="100" spans="1:24">
      <c r="B100" s="698" t="str">
        <f>C99</f>
        <v xml:space="preserve">Pedicularis lanceolata  </v>
      </c>
      <c r="C100" s="149" t="str">
        <f>IF(ISERROR(VLOOKUP(B99,Forb_Table,30,FALSE)),"",VLOOKUP(B99,Forb_Table,30,FALSE))</f>
        <v>Summer, Fall</v>
      </c>
      <c r="D100" s="356">
        <f>IF(E99="",IF(F99="","",F99/$F$165),F100/$F$165)</f>
        <v>4.4999999999999998E-2</v>
      </c>
      <c r="E100" s="381">
        <f>IF(D99="",IF(F99="","",F99/I99),J99*D99)</f>
        <v>0.111375</v>
      </c>
      <c r="F100" s="381" t="str">
        <f>IF(D99="",IF(E99="","",E99*I99),E100*I99)</f>
        <v/>
      </c>
      <c r="G100" s="704">
        <f>G99</f>
        <v>7</v>
      </c>
      <c r="H100" s="130"/>
      <c r="I100" s="706"/>
      <c r="J100" s="707"/>
      <c r="K100" s="707"/>
      <c r="L100" s="708"/>
      <c r="M100" s="701" t="str">
        <f>M99</f>
        <v>Perennial Forb, Hemiparasite</v>
      </c>
    </row>
    <row r="101" spans="1:24">
      <c r="A101" s="6">
        <v>20</v>
      </c>
      <c r="B101" s="146" t="s">
        <v>344</v>
      </c>
      <c r="C101" s="147" t="str">
        <f>IF(ISERROR(VLOOKUP(B101,Forb_Table,2,FALSE)),"",VLOOKUP(B101,Forb_Table,2,FALSE))</f>
        <v xml:space="preserve">Penstemon digitalis </v>
      </c>
      <c r="D101" s="354"/>
      <c r="E101" s="379"/>
      <c r="F101" s="380">
        <v>0.8</v>
      </c>
      <c r="G101" s="123">
        <f>IF(ISNA(VLOOKUP(B101,Forb_Table,31,FALSE)),"",VLOOKUP(B101,Forb_Table,31,FALSE))</f>
        <v>4</v>
      </c>
      <c r="H101" s="138">
        <f>IF(ISNA(VLOOKUP(B101,Forb_Table,25,FALSE)),"",VLOOKUP(B101,Forb_Table,25,FALSE))</f>
        <v>150</v>
      </c>
      <c r="I101" s="123">
        <f>IF(ISNA(VLOOKUP(B101,Forb_Table,28,FALSE)),"",VLOOKUP(B101,Forb_Table,28,FALSE))</f>
        <v>47.750229568411385</v>
      </c>
      <c r="J101" s="123">
        <f>IF(ISNA(VLOOKUP(B101,Forb_Table,21,FALSE)),"",VLOOKUP(B101,Forb_Table,21,FALSE))</f>
        <v>0.73298076923076927</v>
      </c>
      <c r="K101" s="135">
        <f>IF(D102&gt;0,D102,0)</f>
        <v>0.02</v>
      </c>
      <c r="L101" s="143">
        <f>IF(D101="",IF(E101="",IF(F101="",0,F101/I101*H101),E101*H101),E102*H101)</f>
        <v>2.5130769230769232</v>
      </c>
      <c r="M101" s="148" t="str">
        <f>IF(ISNA(VLOOKUP(B101,Forb_Table,32,FALSE)),"",VLOOKUP(B101,Forb_Table,32,FALSE))</f>
        <v>Perennial Forb</v>
      </c>
      <c r="X101" s="7" t="s">
        <v>902</v>
      </c>
    </row>
    <row r="102" spans="1:24">
      <c r="A102" s="6"/>
      <c r="B102" s="698" t="str">
        <f>C101</f>
        <v xml:space="preserve">Penstemon digitalis </v>
      </c>
      <c r="C102" s="149" t="str">
        <f>IF(ISERROR(VLOOKUP(B101,Forb_Table,30,FALSE)),"",VLOOKUP(B101,Forb_Table,30,FALSE))</f>
        <v>Summer</v>
      </c>
      <c r="D102" s="356">
        <f>IF(E101="",IF(F101="","",F101/$F$165),F102/$F$165)</f>
        <v>0.02</v>
      </c>
      <c r="E102" s="381">
        <f>IF(D101="",IF(F101="","",F101/I101),J101*D101)</f>
        <v>1.6753846153846154E-2</v>
      </c>
      <c r="F102" s="381" t="str">
        <f>IF(D101="",IF(E101="","",E101*I101),E102*I101)</f>
        <v/>
      </c>
      <c r="G102" s="704">
        <f>G101</f>
        <v>4</v>
      </c>
      <c r="H102" s="130"/>
      <c r="I102" s="706"/>
      <c r="J102" s="707"/>
      <c r="K102" s="707"/>
      <c r="L102" s="708"/>
      <c r="M102" s="701" t="str">
        <f>M101</f>
        <v>Perennial Forb</v>
      </c>
    </row>
    <row r="103" spans="1:24">
      <c r="A103" s="6">
        <v>21</v>
      </c>
      <c r="B103" s="146" t="s">
        <v>489</v>
      </c>
      <c r="C103" s="147" t="str">
        <f>IF(ISERROR(VLOOKUP(B103,Forb_Table,2,FALSE)),"",VLOOKUP(B103,Forb_Table,2,FALSE))</f>
        <v xml:space="preserve">Phlox maculata </v>
      </c>
      <c r="D103" s="354"/>
      <c r="E103" s="379"/>
      <c r="F103" s="380">
        <v>0.1</v>
      </c>
      <c r="G103" s="123">
        <f>IF(ISNA(VLOOKUP(B103,Forb_Table,31,FALSE)),"",VLOOKUP(B103,Forb_Table,31,FALSE))</f>
        <v>7</v>
      </c>
      <c r="H103" s="138">
        <f>IF(ISNA(VLOOKUP(B103,Forb_Table,25,FALSE)),"",VLOOKUP(B103,Forb_Table,25,FALSE))</f>
        <v>750</v>
      </c>
      <c r="I103" s="123">
        <f>IF(ISNA(VLOOKUP(B103,Forb_Table,28,FALSE)),"",VLOOKUP(B103,Forb_Table,28,FALSE))</f>
        <v>4.0404040404040407</v>
      </c>
      <c r="J103" s="123">
        <f>IF(ISNA(VLOOKUP(B103,Forb_Table,21,FALSE)),"",VLOOKUP(B103,Forb_Table,21,FALSE))</f>
        <v>8.6624999999999996</v>
      </c>
      <c r="K103" s="135">
        <f>IF(D104&gt;0,D104,0)</f>
        <v>2.5000000000000001E-3</v>
      </c>
      <c r="L103" s="143">
        <f>IF(D103="",IF(E103="",IF(F103="",0,F103/I103*H103),E103*H103),E104*H103)</f>
        <v>18.5625</v>
      </c>
      <c r="M103" s="148" t="str">
        <f>IF(ISNA(VLOOKUP(B103,Forb_Table,32,FALSE)),"",VLOOKUP(B103,Forb_Table,32,FALSE))</f>
        <v>Perennial Forb</v>
      </c>
      <c r="X103" s="7" t="s">
        <v>902</v>
      </c>
    </row>
    <row r="104" spans="1:24">
      <c r="B104" s="699" t="str">
        <f>C103</f>
        <v xml:space="preserve">Phlox maculata </v>
      </c>
      <c r="C104" s="150" t="str">
        <f>IF(ISERROR(VLOOKUP(B103,Forb_Table,30,FALSE)),"",VLOOKUP(B103,Forb_Table,30,FALSE))</f>
        <v>Summer</v>
      </c>
      <c r="D104" s="356">
        <f>IF(E103="",IF(F103="","",F103/$F$165),F104/$F$165)</f>
        <v>2.5000000000000001E-3</v>
      </c>
      <c r="E104" s="381">
        <f>IF(D103="",IF(F103="","",F103/I103),J103*D103)</f>
        <v>2.4750000000000001E-2</v>
      </c>
      <c r="F104" s="381" t="str">
        <f>IF(D103="",IF(E103="","",E103*I103),E104*I103)</f>
        <v/>
      </c>
      <c r="G104" s="704">
        <f>G103</f>
        <v>7</v>
      </c>
      <c r="H104" s="130"/>
      <c r="I104" s="706"/>
      <c r="J104" s="707"/>
      <c r="K104" s="707"/>
      <c r="L104" s="708"/>
      <c r="M104" s="701" t="str">
        <f>M103</f>
        <v>Perennial Forb</v>
      </c>
    </row>
    <row r="105" spans="1:24">
      <c r="A105" s="6">
        <v>22</v>
      </c>
      <c r="B105" s="146" t="s">
        <v>320</v>
      </c>
      <c r="C105" s="147" t="str">
        <f>IF(ISERROR(VLOOKUP(B105,Forb_Table,2,FALSE)),"",VLOOKUP(B105,Forb_Table,2,FALSE))</f>
        <v xml:space="preserve">Pycnanthemum virginianum </v>
      </c>
      <c r="D105" s="354"/>
      <c r="E105" s="379"/>
      <c r="F105" s="380">
        <v>1</v>
      </c>
      <c r="G105" s="123">
        <f>IF(ISNA(VLOOKUP(B105,Forb_Table,31,FALSE)),"",VLOOKUP(B105,Forb_Table,31,FALSE))</f>
        <v>4</v>
      </c>
      <c r="H105" s="138">
        <f>IF(ISNA(VLOOKUP(B105,Forb_Table,25,FALSE)),"",VLOOKUP(B105,Forb_Table,25,FALSE))</f>
        <v>450</v>
      </c>
      <c r="I105" s="123">
        <f>IF(ISNA(VLOOKUP(B105,Forb_Table,28,FALSE)),"",VLOOKUP(B105,Forb_Table,28,FALSE))</f>
        <v>80.808080808080803</v>
      </c>
      <c r="J105" s="123">
        <f>IF(ISNA(VLOOKUP(B105,Forb_Table,21,FALSE)),"",VLOOKUP(B105,Forb_Table,21,FALSE))</f>
        <v>0.43312500000000004</v>
      </c>
      <c r="K105" s="135">
        <f>IF(D106&gt;0,D106,0)</f>
        <v>2.5000000000000001E-2</v>
      </c>
      <c r="L105" s="143">
        <f>IF(D105="",IF(E105="",IF(F105="",0,F105/I105*H105),E105*H105),E106*H105)</f>
        <v>5.5687500000000005</v>
      </c>
      <c r="M105" s="148" t="str">
        <f>IF(ISNA(VLOOKUP(B105,Forb_Table,32,FALSE)),"",VLOOKUP(B105,Forb_Table,32,FALSE))</f>
        <v>Perennial Forb</v>
      </c>
      <c r="X105" s="7" t="s">
        <v>902</v>
      </c>
    </row>
    <row r="106" spans="1:24">
      <c r="A106" s="6"/>
      <c r="B106" s="698" t="str">
        <f>C105</f>
        <v xml:space="preserve">Pycnanthemum virginianum </v>
      </c>
      <c r="C106" s="149" t="str">
        <f>IF(ISERROR(VLOOKUP(B105,Forb_Table,30,FALSE)),"",VLOOKUP(B105,Forb_Table,30,FALSE))</f>
        <v>Summer, Fall</v>
      </c>
      <c r="D106" s="356">
        <f>IF(E105="",IF(F105="","",F105/$F$165),F106/$F$165)</f>
        <v>2.5000000000000001E-2</v>
      </c>
      <c r="E106" s="381">
        <f>IF(D105="",IF(F105="","",F105/I105),J105*D105)</f>
        <v>1.2375000000000001E-2</v>
      </c>
      <c r="F106" s="381" t="str">
        <f>IF(D105="",IF(E105="","",E105*I105),E106*I105)</f>
        <v/>
      </c>
      <c r="G106" s="704">
        <f>G105</f>
        <v>4</v>
      </c>
      <c r="H106" s="130"/>
      <c r="I106" s="706"/>
      <c r="J106" s="707"/>
      <c r="K106" s="707"/>
      <c r="L106" s="708"/>
      <c r="M106" s="701" t="str">
        <f>M105</f>
        <v>Perennial Forb</v>
      </c>
    </row>
    <row r="107" spans="1:24">
      <c r="A107" s="6">
        <v>23</v>
      </c>
      <c r="B107" s="146" t="s">
        <v>1247</v>
      </c>
      <c r="C107" s="147" t="str">
        <f>IF(ISERROR(VLOOKUP(B107,Forb_Table,2,FALSE)),"",VLOOKUP(B107,Forb_Table,2,FALSE))</f>
        <v xml:space="preserve">Ratibida pinnata  </v>
      </c>
      <c r="D107" s="354"/>
      <c r="E107" s="379"/>
      <c r="F107" s="380">
        <v>0.9</v>
      </c>
      <c r="G107" s="123">
        <f>IF(ISNA(VLOOKUP(B107,Forb_Table,31,FALSE)),"",VLOOKUP(B107,Forb_Table,31,FALSE))</f>
        <v>4</v>
      </c>
      <c r="H107" s="138">
        <f>IF(ISNA(VLOOKUP(B107,Forb_Table,25,FALSE)),"",VLOOKUP(B107,Forb_Table,25,FALSE))</f>
        <v>60</v>
      </c>
      <c r="I107" s="123">
        <f>IF(ISNA(VLOOKUP(B107,Forb_Table,28,FALSE)),"",VLOOKUP(B107,Forb_Table,28,FALSE))</f>
        <v>15.426997245179063</v>
      </c>
      <c r="J107" s="123">
        <f>IF(ISNA(VLOOKUP(B107,Forb_Table,21,FALSE)),"",VLOOKUP(B107,Forb_Table,21,FALSE))</f>
        <v>2.2687500000000003</v>
      </c>
      <c r="K107" s="135">
        <f>IF(D108&gt;0,D108,0)</f>
        <v>2.2499999999999999E-2</v>
      </c>
      <c r="L107" s="143">
        <f>IF(D107="",IF(E107="",IF(F107="",0,F107/I107*H107),E107*H107),E108*H107)</f>
        <v>3.5003571428571432</v>
      </c>
      <c r="M107" s="148" t="str">
        <f>IF(ISNA(VLOOKUP(B107,Forb_Table,32,FALSE)),"",VLOOKUP(B107,Forb_Table,32,FALSE))</f>
        <v>Perennial Forb</v>
      </c>
      <c r="X107" s="7" t="s">
        <v>902</v>
      </c>
    </row>
    <row r="108" spans="1:24">
      <c r="B108" s="698" t="str">
        <f>C107</f>
        <v xml:space="preserve">Ratibida pinnata  </v>
      </c>
      <c r="C108" s="149" t="str">
        <f>IF(ISERROR(VLOOKUP(B107,Forb_Table,30,FALSE)),"",VLOOKUP(B107,Forb_Table,30,FALSE))</f>
        <v>Summer, Fall</v>
      </c>
      <c r="D108" s="356">
        <f>IF(E107="",IF(F107="","",F107/$F$165),F108/$F$165)</f>
        <v>2.2499999999999999E-2</v>
      </c>
      <c r="E108" s="381">
        <f>IF(D107="",IF(F107="","",F107/I107),J107*D107)</f>
        <v>5.8339285714285719E-2</v>
      </c>
      <c r="F108" s="381" t="str">
        <f>IF(D107="",IF(E107="","",E107*I107),E108*I107)</f>
        <v/>
      </c>
      <c r="G108" s="704">
        <f>G107</f>
        <v>4</v>
      </c>
      <c r="H108" s="130"/>
      <c r="I108" s="706"/>
      <c r="J108" s="707"/>
      <c r="K108" s="707"/>
      <c r="L108" s="708"/>
      <c r="M108" s="701" t="str">
        <f>M107</f>
        <v>Perennial Forb</v>
      </c>
    </row>
    <row r="109" spans="1:24">
      <c r="A109" s="6">
        <v>24</v>
      </c>
      <c r="B109" s="146" t="s">
        <v>371</v>
      </c>
      <c r="C109" s="147" t="str">
        <f>IF(ISERROR(VLOOKUP(B109,Forb_Table,2,FALSE)),"",VLOOKUP(B109,Forb_Table,2,FALSE))</f>
        <v xml:space="preserve">Senecio congestus  </v>
      </c>
      <c r="D109" s="354"/>
      <c r="E109" s="379"/>
      <c r="F109" s="380">
        <v>0.4</v>
      </c>
      <c r="G109" s="123">
        <f>IF(ISNA(VLOOKUP(B109,Forb_Table,31,FALSE)),"",VLOOKUP(B109,Forb_Table,31,FALSE))</f>
        <v>10</v>
      </c>
      <c r="H109" s="138">
        <f>IF(ISNA(VLOOKUP(B109,Forb_Table,25,FALSE)),"",VLOOKUP(B109,Forb_Table,25,FALSE))</f>
        <v>320</v>
      </c>
      <c r="I109" s="123">
        <f>IF(ISNA(VLOOKUP(B109,Forb_Table,28,FALSE)),"",VLOOKUP(B109,Forb_Table,28,FALSE))</f>
        <v>3.6730945821854912</v>
      </c>
      <c r="J109" s="123">
        <f>IF(ISNA(VLOOKUP(B109,Forb_Table,21,FALSE)),"",VLOOKUP(B109,Forb_Table,21,FALSE))</f>
        <v>9.5287500000000005</v>
      </c>
      <c r="K109" s="135">
        <f>IF(D110&gt;0,D110,0)</f>
        <v>0.01</v>
      </c>
      <c r="L109" s="143">
        <f>IF(D109="",IF(E109="",IF(F109="",0,F109/I109*H109),E109*H109),E110*H109)</f>
        <v>34.848000000000006</v>
      </c>
      <c r="M109" s="148" t="str">
        <f>IF(ISNA(VLOOKUP(B109,Forb_Table,32,FALSE)),"",VLOOKUP(B109,Forb_Table,32,FALSE))</f>
        <v>Annual Forb</v>
      </c>
      <c r="X109" s="7" t="s">
        <v>902</v>
      </c>
    </row>
    <row r="110" spans="1:24">
      <c r="A110" s="6"/>
      <c r="B110" s="698" t="str">
        <f>C109</f>
        <v xml:space="preserve">Senecio congestus  </v>
      </c>
      <c r="C110" s="149" t="str">
        <f>IF(ISERROR(VLOOKUP(B109,Forb_Table,30,FALSE)),"",VLOOKUP(B109,Forb_Table,30,FALSE))</f>
        <v>Summer</v>
      </c>
      <c r="D110" s="356">
        <f>IF(E109="",IF(F109="","",F109/$F$165),F110/$F$165)</f>
        <v>0.01</v>
      </c>
      <c r="E110" s="381">
        <f>IF(D109="",IF(F109="","",F109/I109),J109*D109)</f>
        <v>0.10890000000000001</v>
      </c>
      <c r="F110" s="381" t="str">
        <f>IF(D109="",IF(E109="","",E109*I109),E110*I109)</f>
        <v/>
      </c>
      <c r="G110" s="704">
        <f>G109</f>
        <v>10</v>
      </c>
      <c r="H110" s="130"/>
      <c r="I110" s="706"/>
      <c r="J110" s="707"/>
      <c r="K110" s="707"/>
      <c r="L110" s="708"/>
      <c r="M110" s="701" t="str">
        <f>M109</f>
        <v>Annual Forb</v>
      </c>
    </row>
    <row r="111" spans="1:24">
      <c r="A111" s="6">
        <v>25</v>
      </c>
      <c r="B111" s="146" t="s">
        <v>379</v>
      </c>
      <c r="C111" s="147" t="str">
        <f>IF(ISERROR(VLOOKUP(B111,Forb_Table,2,FALSE)),"",VLOOKUP(B111,Forb_Table,2,FALSE))</f>
        <v>Symphyotrichum novae-angliae</v>
      </c>
      <c r="D111" s="354"/>
      <c r="E111" s="379"/>
      <c r="F111" s="380">
        <v>0.8</v>
      </c>
      <c r="G111" s="123">
        <f>IF(ISNA(VLOOKUP(B111,Forb_Table,31,FALSE)),"",VLOOKUP(B111,Forb_Table,31,FALSE))</f>
        <v>3</v>
      </c>
      <c r="H111" s="138">
        <f>IF(ISNA(VLOOKUP(B111,Forb_Table,25,FALSE)),"",VLOOKUP(B111,Forb_Table,25,FALSE))</f>
        <v>300</v>
      </c>
      <c r="I111" s="123">
        <f>IF(ISNA(VLOOKUP(B111,Forb_Table,28,FALSE)),"",VLOOKUP(B111,Forb_Table,28,FALSE))</f>
        <v>24.242424242424242</v>
      </c>
      <c r="J111" s="123">
        <f>IF(ISNA(VLOOKUP(B111,Forb_Table,21,FALSE)),"",VLOOKUP(B111,Forb_Table,21,FALSE))</f>
        <v>1.4437500000000001</v>
      </c>
      <c r="K111" s="135">
        <f>IF(D112&gt;0,D112,0)</f>
        <v>0.02</v>
      </c>
      <c r="L111" s="143">
        <f>IF(D111="",IF(E111="",IF(F111="",0,F111/I111*H111),E111*H111),E112*H111)</f>
        <v>9.9</v>
      </c>
      <c r="M111" s="148" t="str">
        <f>IF(ISNA(VLOOKUP(B111,Forb_Table,32,FALSE)),"",VLOOKUP(B111,Forb_Table,32,FALSE))</f>
        <v>Perennial Forb</v>
      </c>
      <c r="X111" s="7" t="s">
        <v>902</v>
      </c>
    </row>
    <row r="112" spans="1:24">
      <c r="B112" s="698" t="str">
        <f>C111</f>
        <v>Symphyotrichum novae-angliae</v>
      </c>
      <c r="C112" s="149" t="str">
        <f>IF(ISERROR(VLOOKUP(B111,Forb_Table,30,FALSE)),"",VLOOKUP(B111,Forb_Table,30,FALSE))</f>
        <v>Summer, Fall</v>
      </c>
      <c r="D112" s="356">
        <f>IF(E111="",IF(F111="","",F111/$F$165),F112/$F$165)</f>
        <v>0.02</v>
      </c>
      <c r="E112" s="381">
        <f>IF(D111="",IF(F111="","",F111/I111),J111*D111)</f>
        <v>3.3000000000000002E-2</v>
      </c>
      <c r="F112" s="381" t="str">
        <f>IF(D111="",IF(E111="","",E111*I111),E112*I111)</f>
        <v/>
      </c>
      <c r="G112" s="704">
        <f>G111</f>
        <v>3</v>
      </c>
      <c r="H112" s="130"/>
      <c r="I112" s="706"/>
      <c r="J112" s="707"/>
      <c r="K112" s="707"/>
      <c r="L112" s="708"/>
      <c r="M112" s="701" t="str">
        <f>M111</f>
        <v>Perennial Forb</v>
      </c>
    </row>
    <row r="113" spans="1:24">
      <c r="A113" s="6">
        <v>26</v>
      </c>
      <c r="B113" s="146" t="s">
        <v>1263</v>
      </c>
      <c r="C113" s="147" t="str">
        <f>IF(ISERROR(VLOOKUP(B113,Forb_Table,2,FALSE)),"",VLOOKUP(B113,Forb_Table,2,FALSE))</f>
        <v xml:space="preserve">Thalictrum dasycarpum  </v>
      </c>
      <c r="D113" s="354"/>
      <c r="E113" s="379"/>
      <c r="F113" s="380">
        <v>0.3</v>
      </c>
      <c r="G113" s="123">
        <f>IF(ISNA(VLOOKUP(B113,Forb_Table,31,FALSE)),"",VLOOKUP(B113,Forb_Table,31,FALSE))</f>
        <v>4</v>
      </c>
      <c r="H113" s="138">
        <f>IF(ISNA(VLOOKUP(B113,Forb_Table,25,FALSE)),"",VLOOKUP(B113,Forb_Table,25,FALSE))</f>
        <v>300</v>
      </c>
      <c r="I113" s="123">
        <f>IF(ISNA(VLOOKUP(B113,Forb_Table,28,FALSE)),"",VLOOKUP(B113,Forb_Table,28,FALSE))</f>
        <v>4.0404040404040407</v>
      </c>
      <c r="J113" s="123">
        <f>IF(ISNA(VLOOKUP(B113,Forb_Table,21,FALSE)),"",VLOOKUP(B113,Forb_Table,21,FALSE))</f>
        <v>8.6624999999999996</v>
      </c>
      <c r="K113" s="135">
        <f>IF(D114&gt;0,D114,0)</f>
        <v>7.4999999999999997E-3</v>
      </c>
      <c r="L113" s="143">
        <f>IF(D113="",IF(E113="",IF(F113="",0,F113/I113*H113),E113*H113),E114*H113)</f>
        <v>22.274999999999999</v>
      </c>
      <c r="M113" s="148" t="str">
        <f>IF(ISNA(VLOOKUP(B113,Forb_Table,32,FALSE)),"",VLOOKUP(B113,Forb_Table,32,FALSE))</f>
        <v>Perennial Forb</v>
      </c>
      <c r="X113" s="7" t="s">
        <v>902</v>
      </c>
    </row>
    <row r="114" spans="1:24">
      <c r="A114" s="6"/>
      <c r="B114" s="698" t="str">
        <f>C113</f>
        <v xml:space="preserve">Thalictrum dasycarpum  </v>
      </c>
      <c r="C114" s="149" t="str">
        <f>IF(ISERROR(VLOOKUP(B113,Forb_Table,30,FALSE)),"",VLOOKUP(B113,Forb_Table,30,FALSE))</f>
        <v>Summer</v>
      </c>
      <c r="D114" s="356">
        <f>IF(E113="",IF(F113="","",F113/$F$165),F114/$F$165)</f>
        <v>7.4999999999999997E-3</v>
      </c>
      <c r="E114" s="381">
        <f>IF(D113="",IF(F113="","",F113/I113),J113*D113)</f>
        <v>7.4249999999999997E-2</v>
      </c>
      <c r="F114" s="381" t="str">
        <f>IF(D113="",IF(E113="","",E113*I113),E114*I113)</f>
        <v/>
      </c>
      <c r="G114" s="704">
        <f>G113</f>
        <v>4</v>
      </c>
      <c r="H114" s="130"/>
      <c r="I114" s="706"/>
      <c r="J114" s="707"/>
      <c r="K114" s="707"/>
      <c r="L114" s="708"/>
      <c r="M114" s="701" t="str">
        <f>M113</f>
        <v>Perennial Forb</v>
      </c>
    </row>
    <row r="115" spans="1:24">
      <c r="A115" s="6">
        <v>27</v>
      </c>
      <c r="B115" s="146" t="s">
        <v>321</v>
      </c>
      <c r="C115" s="147" t="str">
        <f>IF(ISERROR(VLOOKUP(B115,Forb_Table,2,FALSE)),"",VLOOKUP(B115,Forb_Table,2,FALSE))</f>
        <v xml:space="preserve">Tradescantia ohiensis  </v>
      </c>
      <c r="D115" s="354"/>
      <c r="E115" s="379"/>
      <c r="F115" s="380">
        <v>0.1</v>
      </c>
      <c r="G115" s="123">
        <f>IF(ISNA(VLOOKUP(B115,Forb_Table,31,FALSE)),"",VLOOKUP(B115,Forb_Table,31,FALSE))</f>
        <v>4</v>
      </c>
      <c r="H115" s="138">
        <f>IF(ISNA(VLOOKUP(B115,Forb_Table,25,FALSE)),"",VLOOKUP(B115,Forb_Table,25,FALSE))</f>
        <v>300</v>
      </c>
      <c r="I115" s="123">
        <f>IF(ISNA(VLOOKUP(B115,Forb_Table,28,FALSE)),"",VLOOKUP(B115,Forb_Table,28,FALSE))</f>
        <v>2.9384756657483928</v>
      </c>
      <c r="J115" s="123">
        <f>IF(ISNA(VLOOKUP(B115,Forb_Table,21,FALSE)),"",VLOOKUP(B115,Forb_Table,21,FALSE))</f>
        <v>11.910937500000001</v>
      </c>
      <c r="K115" s="135">
        <f>IF(D116&gt;0,D116,0)</f>
        <v>2.5000000000000001E-3</v>
      </c>
      <c r="L115" s="143">
        <f>IF(D115="",IF(E115="",IF(F115="",0,F115/I115*H115),E115*H115),E116*H115)</f>
        <v>10.209375000000001</v>
      </c>
      <c r="M115" s="148" t="str">
        <f>IF(ISNA(VLOOKUP(B115,Forb_Table,32,FALSE)),"",VLOOKUP(B115,Forb_Table,32,FALSE))</f>
        <v>Perennial Forb</v>
      </c>
      <c r="X115" s="7" t="s">
        <v>902</v>
      </c>
    </row>
    <row r="116" spans="1:24">
      <c r="B116" s="698" t="str">
        <f>C114</f>
        <v>Summer</v>
      </c>
      <c r="C116" s="149" t="str">
        <f>IF(ISERROR(VLOOKUP(B115,Forb_Table,30,FALSE)),"",VLOOKUP(B115,Forb_Table,30,FALSE))</f>
        <v>Spring, Summer</v>
      </c>
      <c r="D116" s="356">
        <f>IF(E115="",IF(F115="","",F115/$F$165),F116/$F$165)</f>
        <v>2.5000000000000001E-3</v>
      </c>
      <c r="E116" s="381">
        <f>IF(D115="",IF(F115="","",F115/I115),J115*D115)</f>
        <v>3.4031250000000006E-2</v>
      </c>
      <c r="F116" s="381" t="str">
        <f>IF(D115="",IF(E115="","",E115*I115),E116*I115)</f>
        <v/>
      </c>
      <c r="G116" s="704">
        <f>G115</f>
        <v>4</v>
      </c>
      <c r="H116" s="130"/>
      <c r="I116" s="706"/>
      <c r="J116" s="707"/>
      <c r="K116" s="707"/>
      <c r="L116" s="708"/>
      <c r="M116" s="701" t="str">
        <f>M115</f>
        <v>Perennial Forb</v>
      </c>
    </row>
    <row r="117" spans="1:24">
      <c r="A117" s="6">
        <v>28</v>
      </c>
      <c r="B117" s="146" t="s">
        <v>499</v>
      </c>
      <c r="C117" s="147" t="str">
        <f>IF(ISERROR(VLOOKUP(B117,Forb_Table,2,FALSE)),"",VLOOKUP(B117,Forb_Table,2,FALSE))</f>
        <v xml:space="preserve">Veronicastrum virginicum  </v>
      </c>
      <c r="D117" s="354"/>
      <c r="E117" s="379"/>
      <c r="F117" s="380">
        <v>1</v>
      </c>
      <c r="G117" s="123">
        <f>IF(ISNA(VLOOKUP(B117,Forb_Table,31,FALSE)),"",VLOOKUP(B117,Forb_Table,31,FALSE))</f>
        <v>5</v>
      </c>
      <c r="H117" s="138">
        <f>IF(ISNA(VLOOKUP(B117,Forb_Table,25,FALSE)),"",VLOOKUP(B117,Forb_Table,25,FALSE))</f>
        <v>1200</v>
      </c>
      <c r="I117" s="123">
        <f>IF(ISNA(VLOOKUP(B117,Forb_Table,28,FALSE)),"",VLOOKUP(B117,Forb_Table,28,FALSE))</f>
        <v>293.84756657483928</v>
      </c>
      <c r="J117" s="123">
        <f>IF(ISNA(VLOOKUP(B117,Forb_Table,21,FALSE)),"",VLOOKUP(B117,Forb_Table,21,FALSE))</f>
        <v>0.119109375</v>
      </c>
      <c r="K117" s="135">
        <f>IF(D118&gt;0,D118,0)</f>
        <v>2.5000000000000001E-2</v>
      </c>
      <c r="L117" s="143">
        <f>IF(D117="",IF(E117="",IF(F117="",0,F117/I117*H117),E117*H117),E118*H117)</f>
        <v>4.0837500000000002</v>
      </c>
      <c r="M117" s="148" t="str">
        <f>IF(ISNA(VLOOKUP(B117,Forb_Table,32,FALSE)),"",VLOOKUP(B117,Forb_Table,32,FALSE))</f>
        <v>Perennial Forb</v>
      </c>
      <c r="X117" s="7" t="s">
        <v>902</v>
      </c>
    </row>
    <row r="118" spans="1:24">
      <c r="A118" s="6"/>
      <c r="B118" s="698" t="str">
        <f>C117</f>
        <v xml:space="preserve">Veronicastrum virginicum  </v>
      </c>
      <c r="C118" s="149" t="str">
        <f>IF(ISERROR(VLOOKUP(B117,Forb_Table,30,FALSE)),"",VLOOKUP(B117,Forb_Table,30,FALSE))</f>
        <v>Summer</v>
      </c>
      <c r="D118" s="356">
        <f>IF(E117="",IF(F117="","",F117/$F$165),F118/$F$165)</f>
        <v>2.5000000000000001E-2</v>
      </c>
      <c r="E118" s="381">
        <f>IF(D117="",IF(F117="","",F117/I117),J117*D117)</f>
        <v>3.4031250000000003E-3</v>
      </c>
      <c r="F118" s="381" t="str">
        <f>IF(D117="",IF(E117="","",E117*I117),E118*I117)</f>
        <v/>
      </c>
      <c r="G118" s="704">
        <f>G117</f>
        <v>5</v>
      </c>
      <c r="H118" s="130"/>
      <c r="I118" s="706"/>
      <c r="J118" s="707"/>
      <c r="K118" s="707"/>
      <c r="L118" s="708"/>
      <c r="M118" s="701" t="str">
        <f>M117</f>
        <v>Perennial Forb</v>
      </c>
    </row>
    <row r="119" spans="1:24">
      <c r="A119" s="6">
        <v>29</v>
      </c>
      <c r="B119" s="146" t="s">
        <v>529</v>
      </c>
      <c r="C119" s="147" t="str">
        <f>IF(ISERROR(VLOOKUP(B119,Forb_Table,2,FALSE)),"",VLOOKUP(B119,Forb_Table,2,FALSE))</f>
        <v xml:space="preserve">Zizia aurea  </v>
      </c>
      <c r="D119" s="354"/>
      <c r="E119" s="379"/>
      <c r="F119" s="380">
        <v>0.2</v>
      </c>
      <c r="G119" s="123">
        <f>IF(ISNA(VLOOKUP(B119,Forb_Table,31,FALSE)),"",VLOOKUP(B119,Forb_Table,31,FALSE))</f>
        <v>6</v>
      </c>
      <c r="H119" s="138">
        <f>IF(ISNA(VLOOKUP(B119,Forb_Table,25,FALSE)),"",VLOOKUP(B119,Forb_Table,25,FALSE))</f>
        <v>120</v>
      </c>
      <c r="I119" s="123">
        <f>IF(ISNA(VLOOKUP(B119,Forb_Table,28,FALSE)),"",VLOOKUP(B119,Forb_Table,28,FALSE))</f>
        <v>4.0404040404040407</v>
      </c>
      <c r="J119" s="123">
        <f>IF(ISNA(VLOOKUP(B119,Forb_Table,21,FALSE)),"",VLOOKUP(B119,Forb_Table,21,FALSE))</f>
        <v>8.6624999999999996</v>
      </c>
      <c r="K119" s="135">
        <f>IF(D120&gt;0,D120,0)</f>
        <v>5.0000000000000001E-3</v>
      </c>
      <c r="L119" s="143">
        <f>IF(D119="",IF(E119="",IF(F119="",0,F119/I119*H119),E119*H119),E120*H119)</f>
        <v>5.94</v>
      </c>
      <c r="M119" s="148" t="str">
        <f>IF(ISNA(VLOOKUP(B119,Forb_Table,32,FALSE)),"",VLOOKUP(B119,Forb_Table,32,FALSE))</f>
        <v>Perennial Forb</v>
      </c>
      <c r="X119" s="7" t="s">
        <v>902</v>
      </c>
    </row>
    <row r="120" spans="1:24">
      <c r="B120" s="698" t="str">
        <f>C119</f>
        <v xml:space="preserve">Zizia aurea  </v>
      </c>
      <c r="C120" s="149" t="str">
        <f>IF(ISERROR(VLOOKUP(B119,Forb_Table,30,FALSE)),"",VLOOKUP(B119,Forb_Table,30,FALSE))</f>
        <v>Spring, Summer</v>
      </c>
      <c r="D120" s="356">
        <f>IF(E119="",IF(F119="","",F119/$F$165),F120/$F$165)</f>
        <v>5.0000000000000001E-3</v>
      </c>
      <c r="E120" s="381">
        <f>IF(D119="",IF(F119="","",F119/I119),J119*D119)</f>
        <v>4.9500000000000002E-2</v>
      </c>
      <c r="F120" s="381" t="str">
        <f>IF(D119="",IF(E119="","",E119*I119),E120*I119)</f>
        <v/>
      </c>
      <c r="G120" s="704">
        <f>G119</f>
        <v>6</v>
      </c>
      <c r="H120" s="130"/>
      <c r="I120" s="706"/>
      <c r="J120" s="707"/>
      <c r="K120" s="707"/>
      <c r="L120" s="708"/>
      <c r="M120" s="701" t="str">
        <f>M119</f>
        <v>Perennial Forb</v>
      </c>
    </row>
    <row r="121" spans="1:24">
      <c r="A121" s="6">
        <v>30</v>
      </c>
      <c r="B121" s="146"/>
      <c r="C121" s="147" t="str">
        <f>IF(ISERROR(VLOOKUP(B121,Forb_Table,2,FALSE)),"",VLOOKUP(B121,Forb_Table,2,FALSE))</f>
        <v/>
      </c>
      <c r="D121" s="354"/>
      <c r="E121" s="379"/>
      <c r="F121" s="380"/>
      <c r="G121" s="123" t="str">
        <f>IF(ISNA(VLOOKUP(B121,Forb_Table,31,FALSE)),"",VLOOKUP(B121,Forb_Table,31,FALSE))</f>
        <v/>
      </c>
      <c r="H121" s="138" t="str">
        <f>IF(ISNA(VLOOKUP(B121,Forb_Table,25,FALSE)),"",VLOOKUP(B121,Forb_Table,25,FALSE))</f>
        <v/>
      </c>
      <c r="I121" s="123" t="str">
        <f>IF(ISNA(VLOOKUP(B121,Forb_Table,28,FALSE)),"",VLOOKUP(B121,Forb_Table,28,FALSE))</f>
        <v/>
      </c>
      <c r="J121" s="123" t="str">
        <f>IF(ISNA(VLOOKUP(B121,Forb_Table,21,FALSE)),"",VLOOKUP(B121,Forb_Table,21,FALSE))</f>
        <v/>
      </c>
      <c r="K121" s="135" t="str">
        <f>IF(D122&gt;0,D122,0)</f>
        <v/>
      </c>
      <c r="L121" s="143">
        <f>IF(D121="",IF(E121="",IF(F121="",0,F121/I121*H121),E121*H121),E122*H121)</f>
        <v>0</v>
      </c>
      <c r="M121" s="148" t="str">
        <f>IF(ISNA(VLOOKUP(B121,Forb_Table,32,FALSE)),"",VLOOKUP(B121,Forb_Table,32,FALSE))</f>
        <v/>
      </c>
      <c r="X121" s="7" t="s">
        <v>902</v>
      </c>
    </row>
    <row r="122" spans="1:24">
      <c r="A122" s="6"/>
      <c r="B122" s="698" t="str">
        <f>C121</f>
        <v/>
      </c>
      <c r="C122" s="149" t="str">
        <f>IF(ISERROR(VLOOKUP(B121,Forb_Table,30,FALSE)),"",VLOOKUP(B121,Forb_Table,30,FALSE))</f>
        <v/>
      </c>
      <c r="D122" s="356" t="str">
        <f>IF(E121="",IF(F121="","",F121/$F$165),F122/$F$165)</f>
        <v/>
      </c>
      <c r="E122" s="381" t="str">
        <f>IF(D121="",IF(F121="","",F121/I121),J121*D121)</f>
        <v/>
      </c>
      <c r="F122" s="381" t="str">
        <f>IF(D121="",IF(E121="","",E121*I121),E122*I121)</f>
        <v/>
      </c>
      <c r="G122" s="704" t="str">
        <f>G121</f>
        <v/>
      </c>
      <c r="H122" s="130"/>
      <c r="I122" s="706"/>
      <c r="J122" s="707"/>
      <c r="K122" s="707"/>
      <c r="L122" s="708"/>
      <c r="M122" s="701" t="str">
        <f>M121</f>
        <v/>
      </c>
    </row>
    <row r="123" spans="1:24">
      <c r="A123" s="6">
        <v>31</v>
      </c>
      <c r="B123" s="146"/>
      <c r="C123" s="147" t="str">
        <f>IF(ISERROR(VLOOKUP(B123,Forb_Table,2,FALSE)),"",VLOOKUP(B123,Forb_Table,2,FALSE))</f>
        <v/>
      </c>
      <c r="D123" s="354"/>
      <c r="E123" s="379"/>
      <c r="F123" s="380"/>
      <c r="G123" s="123" t="str">
        <f>IF(ISNA(VLOOKUP(B123,Forb_Table,31,FALSE)),"",VLOOKUP(B123,Forb_Table,31,FALSE))</f>
        <v/>
      </c>
      <c r="H123" s="138" t="str">
        <f>IF(ISNA(VLOOKUP(B123,Forb_Table,25,FALSE)),"",VLOOKUP(B123,Forb_Table,25,FALSE))</f>
        <v/>
      </c>
      <c r="I123" s="123" t="str">
        <f>IF(ISNA(VLOOKUP(B123,Forb_Table,28,FALSE)),"",VLOOKUP(B123,Forb_Table,28,FALSE))</f>
        <v/>
      </c>
      <c r="J123" s="123" t="str">
        <f>IF(ISNA(VLOOKUP(B123,Forb_Table,21,FALSE)),"",VLOOKUP(B123,Forb_Table,21,FALSE))</f>
        <v/>
      </c>
      <c r="K123" s="135" t="str">
        <f>IF(D124&gt;0,D124,0)</f>
        <v/>
      </c>
      <c r="L123" s="143">
        <f>IF(D123="",IF(E123="",IF(F123="",0,F123/I123*H123),E123*H123),E124*H123)</f>
        <v>0</v>
      </c>
      <c r="M123" s="148" t="str">
        <f>IF(ISNA(VLOOKUP(B123,Forb_Table,32,FALSE)),"",VLOOKUP(B123,Forb_Table,32,FALSE))</f>
        <v/>
      </c>
      <c r="X123" s="7" t="s">
        <v>902</v>
      </c>
    </row>
    <row r="124" spans="1:24">
      <c r="B124" s="698" t="str">
        <f>C123</f>
        <v/>
      </c>
      <c r="C124" s="149" t="str">
        <f>IF(ISERROR(VLOOKUP(B123,Forb_Table,30,FALSE)),"",VLOOKUP(B123,Forb_Table,30,FALSE))</f>
        <v/>
      </c>
      <c r="D124" s="356" t="str">
        <f>IF(E123="",IF(F123="","",F123/$F$165),F124/$F$165)</f>
        <v/>
      </c>
      <c r="E124" s="381" t="str">
        <f>IF(D123="",IF(F123="","",F123/I123),J123*D123)</f>
        <v/>
      </c>
      <c r="F124" s="381" t="str">
        <f>IF(D123="",IF(E123="","",E123*I123),E124*I123)</f>
        <v/>
      </c>
      <c r="G124" s="704" t="str">
        <f>G123</f>
        <v/>
      </c>
      <c r="H124" s="130"/>
      <c r="I124" s="706"/>
      <c r="J124" s="707"/>
      <c r="K124" s="707"/>
      <c r="L124" s="708"/>
      <c r="M124" s="701" t="str">
        <f>M123</f>
        <v/>
      </c>
    </row>
    <row r="125" spans="1:24">
      <c r="A125" s="6">
        <v>32</v>
      </c>
      <c r="B125" s="146"/>
      <c r="C125" s="147" t="str">
        <f>IF(ISERROR(VLOOKUP(B125,Forb_Table,2,FALSE)),"",VLOOKUP(B125,Forb_Table,2,FALSE))</f>
        <v/>
      </c>
      <c r="D125" s="354"/>
      <c r="E125" s="379"/>
      <c r="F125" s="380"/>
      <c r="G125" s="123" t="str">
        <f>IF(ISNA(VLOOKUP(B125,Forb_Table,31,FALSE)),"",VLOOKUP(B125,Forb_Table,31,FALSE))</f>
        <v/>
      </c>
      <c r="H125" s="138" t="str">
        <f>IF(ISNA(VLOOKUP(B125,Forb_Table,25,FALSE)),"",VLOOKUP(B125,Forb_Table,25,FALSE))</f>
        <v/>
      </c>
      <c r="I125" s="123" t="str">
        <f>IF(ISNA(VLOOKUP(B125,Forb_Table,28,FALSE)),"",VLOOKUP(B125,Forb_Table,28,FALSE))</f>
        <v/>
      </c>
      <c r="J125" s="123" t="str">
        <f>IF(ISNA(VLOOKUP(B125,Forb_Table,21,FALSE)),"",VLOOKUP(B125,Forb_Table,21,FALSE))</f>
        <v/>
      </c>
      <c r="K125" s="135" t="str">
        <f>IF(D126&gt;0,D126,0)</f>
        <v/>
      </c>
      <c r="L125" s="143">
        <f>IF(D125="",IF(E125="",IF(F125="",0,F125/I125*H125),E125*H125),E126*H125)</f>
        <v>0</v>
      </c>
      <c r="M125" s="148" t="str">
        <f>IF(ISNA(VLOOKUP(B125,Forb_Table,32,FALSE)),"",VLOOKUP(B125,Forb_Table,32,FALSE))</f>
        <v/>
      </c>
      <c r="X125" s="7" t="s">
        <v>902</v>
      </c>
    </row>
    <row r="126" spans="1:24">
      <c r="A126" s="6"/>
      <c r="B126" s="698" t="str">
        <f>C125</f>
        <v/>
      </c>
      <c r="C126" s="149" t="str">
        <f>IF(ISERROR(VLOOKUP(B125,Forb_Table,30,FALSE)),"",VLOOKUP(B125,Forb_Table,30,FALSE))</f>
        <v/>
      </c>
      <c r="D126" s="356" t="str">
        <f>IF(E125="",IF(F125="","",F125/$F$165),F126/$F$165)</f>
        <v/>
      </c>
      <c r="E126" s="381" t="str">
        <f>IF(D125="",IF(F125="","",F125/I125),J125*D125)</f>
        <v/>
      </c>
      <c r="F126" s="381" t="str">
        <f>IF(D125="",IF(E125="","",E125*I125),E126*I125)</f>
        <v/>
      </c>
      <c r="G126" s="704" t="str">
        <f>G125</f>
        <v/>
      </c>
      <c r="H126" s="130"/>
      <c r="I126" s="706"/>
      <c r="J126" s="707"/>
      <c r="K126" s="707"/>
      <c r="L126" s="708"/>
      <c r="M126" s="701" t="str">
        <f>M125</f>
        <v/>
      </c>
    </row>
    <row r="127" spans="1:24">
      <c r="A127" s="6">
        <v>33</v>
      </c>
      <c r="B127" s="146"/>
      <c r="C127" s="147" t="str">
        <f>IF(ISERROR(VLOOKUP(B127,Forb_Table,2,FALSE)),"",VLOOKUP(B127,Forb_Table,2,FALSE))</f>
        <v/>
      </c>
      <c r="D127" s="354"/>
      <c r="E127" s="379"/>
      <c r="F127" s="380"/>
      <c r="G127" s="123" t="str">
        <f>IF(ISNA(VLOOKUP(B127,Forb_Table,31,FALSE)),"",VLOOKUP(B127,Forb_Table,31,FALSE))</f>
        <v/>
      </c>
      <c r="H127" s="138" t="str">
        <f>IF(ISNA(VLOOKUP(B127,Forb_Table,25,FALSE)),"",VLOOKUP(B127,Forb_Table,25,FALSE))</f>
        <v/>
      </c>
      <c r="I127" s="123" t="str">
        <f>IF(ISNA(VLOOKUP(B127,Forb_Table,28,FALSE)),"",VLOOKUP(B127,Forb_Table,28,FALSE))</f>
        <v/>
      </c>
      <c r="J127" s="123" t="str">
        <f>IF(ISNA(VLOOKUP(B127,Forb_Table,21,FALSE)),"",VLOOKUP(B127,Forb_Table,21,FALSE))</f>
        <v/>
      </c>
      <c r="K127" s="135" t="str">
        <f>IF(D128&gt;0,D128,0)</f>
        <v/>
      </c>
      <c r="L127" s="143">
        <f>IF(D127="",IF(E127="",IF(F127="",0,F127/I127*H127),E127*H127),E128*H127)</f>
        <v>0</v>
      </c>
      <c r="M127" s="148" t="str">
        <f>IF(ISNA(VLOOKUP(B127,Forb_Table,32,FALSE)),"",VLOOKUP(B127,Forb_Table,32,FALSE))</f>
        <v/>
      </c>
      <c r="X127" s="7" t="s">
        <v>902</v>
      </c>
    </row>
    <row r="128" spans="1:24">
      <c r="B128" s="698" t="str">
        <f>C127</f>
        <v/>
      </c>
      <c r="C128" s="149" t="str">
        <f>IF(ISERROR(VLOOKUP(B127,Forb_Table,30,FALSE)),"",VLOOKUP(B127,Forb_Table,30,FALSE))</f>
        <v/>
      </c>
      <c r="D128" s="356" t="str">
        <f>IF(E127="",IF(F127="","",F127/$F$165),F128/$F$165)</f>
        <v/>
      </c>
      <c r="E128" s="381" t="str">
        <f>IF(D127="",IF(F127="","",F127/I127),J127*D127)</f>
        <v/>
      </c>
      <c r="F128" s="381" t="str">
        <f>IF(D127="",IF(E127="","",E127*I127),E128*I127)</f>
        <v/>
      </c>
      <c r="G128" s="704" t="str">
        <f>G127</f>
        <v/>
      </c>
      <c r="H128" s="130"/>
      <c r="I128" s="706"/>
      <c r="J128" s="707"/>
      <c r="K128" s="707"/>
      <c r="L128" s="708"/>
      <c r="M128" s="701" t="str">
        <f>M127</f>
        <v/>
      </c>
    </row>
    <row r="129" spans="1:24">
      <c r="A129" s="6">
        <v>34</v>
      </c>
      <c r="B129" s="146"/>
      <c r="C129" s="147" t="str">
        <f>IF(ISERROR(VLOOKUP(B129,Forb_Table,2,FALSE)),"",VLOOKUP(B129,Forb_Table,2,FALSE))</f>
        <v/>
      </c>
      <c r="D129" s="354"/>
      <c r="E129" s="379"/>
      <c r="F129" s="380"/>
      <c r="G129" s="123" t="str">
        <f>IF(ISNA(VLOOKUP(B129,Forb_Table,31,FALSE)),"",VLOOKUP(B129,Forb_Table,31,FALSE))</f>
        <v/>
      </c>
      <c r="H129" s="138" t="str">
        <f>IF(ISNA(VLOOKUP(B129,Forb_Table,25,FALSE)),"",VLOOKUP(B129,Forb_Table,25,FALSE))</f>
        <v/>
      </c>
      <c r="I129" s="123" t="str">
        <f>IF(ISNA(VLOOKUP(B129,Forb_Table,28,FALSE)),"",VLOOKUP(B129,Forb_Table,28,FALSE))</f>
        <v/>
      </c>
      <c r="J129" s="123" t="str">
        <f>IF(ISNA(VLOOKUP(B129,Forb_Table,21,FALSE)),"",VLOOKUP(B129,Forb_Table,21,FALSE))</f>
        <v/>
      </c>
      <c r="K129" s="135" t="str">
        <f>IF(D130&gt;0,D130,0)</f>
        <v/>
      </c>
      <c r="L129" s="143">
        <f>IF(D129="",IF(E129="",IF(F129="",0,F129/I129*H129),E129*H129),E130*H129)</f>
        <v>0</v>
      </c>
      <c r="M129" s="148" t="str">
        <f>IF(ISNA(VLOOKUP(B129,Forb_Table,32,FALSE)),"",VLOOKUP(B129,Forb_Table,32,FALSE))</f>
        <v/>
      </c>
      <c r="X129" s="7" t="s">
        <v>902</v>
      </c>
    </row>
    <row r="130" spans="1:24">
      <c r="A130" s="6"/>
      <c r="B130" s="698" t="str">
        <f>C129</f>
        <v/>
      </c>
      <c r="C130" s="149" t="str">
        <f>IF(ISERROR(VLOOKUP(B129,Forb_Table,30,FALSE)),"",VLOOKUP(B129,Forb_Table,30,FALSE))</f>
        <v/>
      </c>
      <c r="D130" s="356" t="str">
        <f>IF(E129="",IF(F129="","",F129/$F$165),F130/$F$165)</f>
        <v/>
      </c>
      <c r="E130" s="381" t="str">
        <f>IF(D129="",IF(F129="","",F129/I129),J129*D129)</f>
        <v/>
      </c>
      <c r="F130" s="381" t="str">
        <f>IF(D129="",IF(E129="","",E129*I129),E130*I129)</f>
        <v/>
      </c>
      <c r="G130" s="704" t="str">
        <f>G129</f>
        <v/>
      </c>
      <c r="H130" s="130"/>
      <c r="I130" s="706"/>
      <c r="J130" s="707"/>
      <c r="K130" s="707"/>
      <c r="L130" s="708"/>
      <c r="M130" s="701" t="str">
        <f>M129</f>
        <v/>
      </c>
    </row>
    <row r="131" spans="1:24">
      <c r="A131" s="6">
        <v>35</v>
      </c>
      <c r="B131" s="146"/>
      <c r="C131" s="147" t="str">
        <f>IF(ISERROR(VLOOKUP(B131,Forb_Table,2,FALSE)),"",VLOOKUP(B131,Forb_Table,2,FALSE))</f>
        <v/>
      </c>
      <c r="D131" s="354"/>
      <c r="E131" s="379"/>
      <c r="F131" s="380"/>
      <c r="G131" s="123" t="str">
        <f>IF(ISNA(VLOOKUP(B131,Forb_Table,31,FALSE)),"",VLOOKUP(B131,Forb_Table,31,FALSE))</f>
        <v/>
      </c>
      <c r="H131" s="138" t="str">
        <f>IF(ISNA(VLOOKUP(B131,Forb_Table,25,FALSE)),"",VLOOKUP(B131,Forb_Table,25,FALSE))</f>
        <v/>
      </c>
      <c r="I131" s="123" t="str">
        <f>IF(ISNA(VLOOKUP(B131,Forb_Table,28,FALSE)),"",VLOOKUP(B131,Forb_Table,28,FALSE))</f>
        <v/>
      </c>
      <c r="J131" s="123" t="str">
        <f>IF(ISNA(VLOOKUP(B131,Forb_Table,21,FALSE)),"",VLOOKUP(B131,Forb_Table,21,FALSE))</f>
        <v/>
      </c>
      <c r="K131" s="135" t="str">
        <f>IF(D132&gt;0,D132,0)</f>
        <v/>
      </c>
      <c r="L131" s="143">
        <f>IF(D131="",IF(E131="",IF(F131="",0,F131/I131*H131),E131*H131),E132*H131)</f>
        <v>0</v>
      </c>
      <c r="M131" s="148" t="str">
        <f>IF(ISNA(VLOOKUP(B131,Forb_Table,32,FALSE)),"",VLOOKUP(B131,Forb_Table,32,FALSE))</f>
        <v/>
      </c>
      <c r="X131" s="7" t="s">
        <v>902</v>
      </c>
    </row>
    <row r="132" spans="1:24">
      <c r="B132" s="698" t="str">
        <f>C131</f>
        <v/>
      </c>
      <c r="C132" s="149" t="str">
        <f>IF(ISERROR(VLOOKUP(B131,Forb_Table,30,FALSE)),"",VLOOKUP(B131,Forb_Table,30,FALSE))</f>
        <v/>
      </c>
      <c r="D132" s="356" t="str">
        <f>IF(E131="",IF(F131="","",F131/$F$165),F132/$F$165)</f>
        <v/>
      </c>
      <c r="E132" s="381" t="str">
        <f>IF(D131="",IF(F131="","",F131/I131),J131*D131)</f>
        <v/>
      </c>
      <c r="F132" s="381" t="str">
        <f>IF(D131="",IF(E131="","",E131*I131),E132*I131)</f>
        <v/>
      </c>
      <c r="G132" s="704" t="str">
        <f>G131</f>
        <v/>
      </c>
      <c r="H132" s="130"/>
      <c r="I132" s="706"/>
      <c r="J132" s="707"/>
      <c r="K132" s="707"/>
      <c r="L132" s="708"/>
      <c r="M132" s="701" t="str">
        <f>M131</f>
        <v/>
      </c>
    </row>
    <row r="133" spans="1:24">
      <c r="A133" s="6">
        <v>36</v>
      </c>
      <c r="B133" s="146"/>
      <c r="C133" s="147" t="str">
        <f>IF(ISERROR(VLOOKUP(B133,Forb_Table,2,FALSE)),"",VLOOKUP(B133,Forb_Table,2,FALSE))</f>
        <v/>
      </c>
      <c r="D133" s="354"/>
      <c r="E133" s="379"/>
      <c r="F133" s="380"/>
      <c r="G133" s="123" t="str">
        <f>IF(ISNA(VLOOKUP(B133,Forb_Table,31,FALSE)),"",VLOOKUP(B133,Forb_Table,31,FALSE))</f>
        <v/>
      </c>
      <c r="H133" s="138" t="str">
        <f>IF(ISNA(VLOOKUP(B133,Forb_Table,25,FALSE)),"",VLOOKUP(B133,Forb_Table,25,FALSE))</f>
        <v/>
      </c>
      <c r="I133" s="123" t="str">
        <f>IF(ISNA(VLOOKUP(B133,Forb_Table,28,FALSE)),"",VLOOKUP(B133,Forb_Table,28,FALSE))</f>
        <v/>
      </c>
      <c r="J133" s="123" t="str">
        <f>IF(ISNA(VLOOKUP(B133,Forb_Table,21,FALSE)),"",VLOOKUP(B133,Forb_Table,21,FALSE))</f>
        <v/>
      </c>
      <c r="K133" s="135" t="str">
        <f>IF(D134&gt;0,D134,0)</f>
        <v/>
      </c>
      <c r="L133" s="143">
        <f>IF(D133="",IF(E133="",IF(F133="",0,F133/I133*H133),E133*H133),E134*H133)</f>
        <v>0</v>
      </c>
      <c r="M133" s="148" t="str">
        <f>IF(ISNA(VLOOKUP(B133,Forb_Table,32,FALSE)),"",VLOOKUP(B133,Forb_Table,32,FALSE))</f>
        <v/>
      </c>
      <c r="X133" s="7" t="s">
        <v>902</v>
      </c>
    </row>
    <row r="134" spans="1:24">
      <c r="A134" s="6"/>
      <c r="B134" s="698" t="str">
        <f>C133</f>
        <v/>
      </c>
      <c r="C134" s="149" t="str">
        <f>IF(ISERROR(VLOOKUP(B133,Forb_Table,30,FALSE)),"",VLOOKUP(B133,Forb_Table,30,FALSE))</f>
        <v/>
      </c>
      <c r="D134" s="356" t="str">
        <f>IF(E133="",IF(F133="","",F133/$F$165),F134/$F$165)</f>
        <v/>
      </c>
      <c r="E134" s="381" t="str">
        <f>IF(D133="",IF(F133="","",F133/I133),J133*D133)</f>
        <v/>
      </c>
      <c r="F134" s="381" t="str">
        <f>IF(D133="",IF(E133="","",E133*I133),E134*I133)</f>
        <v/>
      </c>
      <c r="G134" s="704" t="str">
        <f>G133</f>
        <v/>
      </c>
      <c r="H134" s="130"/>
      <c r="I134" s="706"/>
      <c r="J134" s="707"/>
      <c r="K134" s="707"/>
      <c r="L134" s="708"/>
      <c r="M134" s="701" t="str">
        <f>M133</f>
        <v/>
      </c>
    </row>
    <row r="135" spans="1:24">
      <c r="A135" s="6">
        <v>37</v>
      </c>
      <c r="B135" s="146"/>
      <c r="C135" s="147" t="str">
        <f>IF(ISERROR(VLOOKUP(B135,Forb_Table,2,FALSE)),"",VLOOKUP(B135,Forb_Table,2,FALSE))</f>
        <v/>
      </c>
      <c r="D135" s="354"/>
      <c r="E135" s="379"/>
      <c r="F135" s="380"/>
      <c r="G135" s="123" t="str">
        <f>IF(ISNA(VLOOKUP(B135,Forb_Table,31,FALSE)),"",VLOOKUP(B135,Forb_Table,31,FALSE))</f>
        <v/>
      </c>
      <c r="H135" s="138" t="str">
        <f>IF(ISNA(VLOOKUP(B135,Forb_Table,25,FALSE)),"",VLOOKUP(B135,Forb_Table,25,FALSE))</f>
        <v/>
      </c>
      <c r="I135" s="123" t="str">
        <f>IF(ISNA(VLOOKUP(B135,Forb_Table,28,FALSE)),"",VLOOKUP(B135,Forb_Table,28,FALSE))</f>
        <v/>
      </c>
      <c r="J135" s="123" t="str">
        <f>IF(ISNA(VLOOKUP(B135,Forb_Table,21,FALSE)),"",VLOOKUP(B135,Forb_Table,21,FALSE))</f>
        <v/>
      </c>
      <c r="K135" s="135" t="str">
        <f>IF(D136&gt;0,D136,0)</f>
        <v/>
      </c>
      <c r="L135" s="143">
        <f>IF(D135="",IF(E135="",IF(F135="",0,F135/I135*H135),E135*H135),E136*H135)</f>
        <v>0</v>
      </c>
      <c r="M135" s="148" t="str">
        <f>IF(ISNA(VLOOKUP(B135,Forb_Table,32,FALSE)),"",VLOOKUP(B135,Forb_Table,32,FALSE))</f>
        <v/>
      </c>
      <c r="X135" s="7" t="s">
        <v>902</v>
      </c>
    </row>
    <row r="136" spans="1:24">
      <c r="B136" s="698" t="str">
        <f>C135</f>
        <v/>
      </c>
      <c r="C136" s="149" t="str">
        <f>IF(ISERROR(VLOOKUP(B135,Forb_Table,30,FALSE)),"",VLOOKUP(B135,Forb_Table,30,FALSE))</f>
        <v/>
      </c>
      <c r="D136" s="356" t="str">
        <f>IF(E135="",IF(F135="","",F135/$F$165),F136/$F$165)</f>
        <v/>
      </c>
      <c r="E136" s="381" t="str">
        <f>IF(D135="",IF(F135="","",F135/I135),J135*D135)</f>
        <v/>
      </c>
      <c r="F136" s="381" t="str">
        <f>IF(D135="",IF(E135="","",E135*I135),E136*I135)</f>
        <v/>
      </c>
      <c r="G136" s="704" t="str">
        <f>G135</f>
        <v/>
      </c>
      <c r="H136" s="130"/>
      <c r="I136" s="706"/>
      <c r="J136" s="707"/>
      <c r="K136" s="707"/>
      <c r="L136" s="708"/>
      <c r="M136" s="701" t="str">
        <f>M135</f>
        <v/>
      </c>
    </row>
    <row r="137" spans="1:24">
      <c r="A137" s="6">
        <v>38</v>
      </c>
      <c r="B137" s="146"/>
      <c r="C137" s="147" t="str">
        <f>IF(ISERROR(VLOOKUP(B137,Forb_Table,2,FALSE)),"",VLOOKUP(B137,Forb_Table,2,FALSE))</f>
        <v/>
      </c>
      <c r="D137" s="354"/>
      <c r="E137" s="379"/>
      <c r="F137" s="380"/>
      <c r="G137" s="123" t="str">
        <f>IF(ISNA(VLOOKUP(B137,Forb_Table,31,FALSE)),"",VLOOKUP(B137,Forb_Table,31,FALSE))</f>
        <v/>
      </c>
      <c r="H137" s="138" t="str">
        <f>IF(ISNA(VLOOKUP(B137,Forb_Table,25,FALSE)),"",VLOOKUP(B137,Forb_Table,25,FALSE))</f>
        <v/>
      </c>
      <c r="I137" s="123" t="str">
        <f>IF(ISNA(VLOOKUP(B137,Forb_Table,28,FALSE)),"",VLOOKUP(B137,Forb_Table,28,FALSE))</f>
        <v/>
      </c>
      <c r="J137" s="123" t="str">
        <f>IF(ISNA(VLOOKUP(B137,Forb_Table,21,FALSE)),"",VLOOKUP(B137,Forb_Table,21,FALSE))</f>
        <v/>
      </c>
      <c r="K137" s="135" t="str">
        <f>IF(D138&gt;0,D138,0)</f>
        <v/>
      </c>
      <c r="L137" s="143">
        <f>IF(D137="",IF(E137="",IF(F137="",0,F137/I137*H137),E137*H137),E138*H137)</f>
        <v>0</v>
      </c>
      <c r="M137" s="148" t="str">
        <f>IF(ISNA(VLOOKUP(B137,Forb_Table,32,FALSE)),"",VLOOKUP(B137,Forb_Table,32,FALSE))</f>
        <v/>
      </c>
      <c r="X137" s="7" t="s">
        <v>902</v>
      </c>
    </row>
    <row r="138" spans="1:24">
      <c r="A138" s="6"/>
      <c r="B138" s="698" t="str">
        <f>C137</f>
        <v/>
      </c>
      <c r="C138" s="149" t="str">
        <f>IF(ISERROR(VLOOKUP(B137,Forb_Table,30,FALSE)),"",VLOOKUP(B137,Forb_Table,30,FALSE))</f>
        <v/>
      </c>
      <c r="D138" s="356" t="str">
        <f>IF(E137="",IF(F137="","",F137/$F$165),F138/$F$165)</f>
        <v/>
      </c>
      <c r="E138" s="381" t="str">
        <f>IF(D137="",IF(F137="","",F137/I137),J137*D137)</f>
        <v/>
      </c>
      <c r="F138" s="381" t="str">
        <f>IF(D137="",IF(E137="","",E137*I137),E138*I137)</f>
        <v/>
      </c>
      <c r="G138" s="704" t="str">
        <f>G137</f>
        <v/>
      </c>
      <c r="H138" s="130"/>
      <c r="I138" s="706"/>
      <c r="J138" s="707"/>
      <c r="K138" s="707"/>
      <c r="L138" s="708"/>
      <c r="M138" s="701" t="str">
        <f>M137</f>
        <v/>
      </c>
    </row>
    <row r="139" spans="1:24">
      <c r="A139" s="6">
        <v>39</v>
      </c>
      <c r="B139" s="146"/>
      <c r="C139" s="147" t="str">
        <f>IF(ISERROR(VLOOKUP(B139,Forb_Table,2,FALSE)),"",VLOOKUP(B139,Forb_Table,2,FALSE))</f>
        <v/>
      </c>
      <c r="D139" s="354"/>
      <c r="E139" s="379"/>
      <c r="F139" s="380"/>
      <c r="G139" s="123" t="str">
        <f>IF(ISNA(VLOOKUP(B139,Forb_Table,31,FALSE)),"",VLOOKUP(B139,Forb_Table,31,FALSE))</f>
        <v/>
      </c>
      <c r="H139" s="138" t="str">
        <f>IF(ISNA(VLOOKUP(B139,Forb_Table,25,FALSE)),"",VLOOKUP(B139,Forb_Table,25,FALSE))</f>
        <v/>
      </c>
      <c r="I139" s="123" t="str">
        <f>IF(ISNA(VLOOKUP(B139,Forb_Table,28,FALSE)),"",VLOOKUP(B139,Forb_Table,28,FALSE))</f>
        <v/>
      </c>
      <c r="J139" s="123" t="str">
        <f>IF(ISNA(VLOOKUP(B139,Forb_Table,21,FALSE)),"",VLOOKUP(B139,Forb_Table,21,FALSE))</f>
        <v/>
      </c>
      <c r="K139" s="135" t="str">
        <f>IF(D140&gt;0,D140,0)</f>
        <v/>
      </c>
      <c r="L139" s="143">
        <f>IF(D139="",IF(E139="",IF(F139="",0,F139/I139*H139),E139*H139),E140*H139)</f>
        <v>0</v>
      </c>
      <c r="M139" s="148" t="str">
        <f>IF(ISNA(VLOOKUP(B139,Forb_Table,32,FALSE)),"",VLOOKUP(B139,Forb_Table,32,FALSE))</f>
        <v/>
      </c>
      <c r="X139" s="7" t="s">
        <v>902</v>
      </c>
    </row>
    <row r="140" spans="1:24">
      <c r="B140" s="698" t="str">
        <f>C139</f>
        <v/>
      </c>
      <c r="C140" s="149" t="str">
        <f>IF(ISERROR(VLOOKUP(B139,Forb_Table,30,FALSE)),"",VLOOKUP(B139,Forb_Table,30,FALSE))</f>
        <v/>
      </c>
      <c r="D140" s="356" t="str">
        <f>IF(E139="",IF(F139="","",F139/$F$165),F140/$F$165)</f>
        <v/>
      </c>
      <c r="E140" s="381" t="str">
        <f>IF(D139="",IF(F139="","",F139/I139),J139*D139)</f>
        <v/>
      </c>
      <c r="F140" s="381" t="str">
        <f>IF(D139="",IF(E139="","",E139*I139),E140*I139)</f>
        <v/>
      </c>
      <c r="G140" s="704" t="str">
        <f>G139</f>
        <v/>
      </c>
      <c r="H140" s="130"/>
      <c r="I140" s="706"/>
      <c r="J140" s="707"/>
      <c r="K140" s="707"/>
      <c r="L140" s="708"/>
      <c r="M140" s="701" t="str">
        <f>M139</f>
        <v/>
      </c>
    </row>
    <row r="141" spans="1:24">
      <c r="A141" s="6">
        <v>40</v>
      </c>
      <c r="B141" s="146"/>
      <c r="C141" s="147" t="str">
        <f>IF(ISERROR(VLOOKUP(B141,Forb_Table,2,FALSE)),"",VLOOKUP(B141,Forb_Table,2,FALSE))</f>
        <v/>
      </c>
      <c r="D141" s="354"/>
      <c r="E141" s="379"/>
      <c r="F141" s="380"/>
      <c r="G141" s="123" t="str">
        <f>IF(ISNA(VLOOKUP(B141,Forb_Table,31,FALSE)),"",VLOOKUP(B141,Forb_Table,31,FALSE))</f>
        <v/>
      </c>
      <c r="H141" s="138" t="str">
        <f>IF(ISNA(VLOOKUP(B141,Forb_Table,25,FALSE)),"",VLOOKUP(B141,Forb_Table,25,FALSE))</f>
        <v/>
      </c>
      <c r="I141" s="123" t="str">
        <f>IF(ISNA(VLOOKUP(B141,Forb_Table,28,FALSE)),"",VLOOKUP(B141,Forb_Table,28,FALSE))</f>
        <v/>
      </c>
      <c r="J141" s="123" t="str">
        <f>IF(ISNA(VLOOKUP(B141,Forb_Table,21,FALSE)),"",VLOOKUP(B141,Forb_Table,21,FALSE))</f>
        <v/>
      </c>
      <c r="K141" s="135" t="str">
        <f>IF(D142&gt;0,D142,0)</f>
        <v/>
      </c>
      <c r="L141" s="143">
        <f>IF(D141="",IF(E141="",IF(F141="",0,F141/I141*H141),E141*H141),E142*H141)</f>
        <v>0</v>
      </c>
      <c r="M141" s="148" t="str">
        <f>IF(ISNA(VLOOKUP(B141,Forb_Table,32,FALSE)),"",VLOOKUP(B141,Forb_Table,32,FALSE))</f>
        <v/>
      </c>
      <c r="X141" s="7" t="s">
        <v>902</v>
      </c>
    </row>
    <row r="142" spans="1:24" ht="15.75" customHeight="1">
      <c r="B142" s="698" t="str">
        <f>C141</f>
        <v/>
      </c>
      <c r="C142" s="149" t="str">
        <f>IF(ISERROR(VLOOKUP(B141,Forb_Table,30,FALSE)),"",VLOOKUP(B141,Forb_Table,30,FALSE))</f>
        <v/>
      </c>
      <c r="D142" s="356" t="str">
        <f>IF(E141="",IF(F141="","",F141/$F$165),F142/$F$165)</f>
        <v/>
      </c>
      <c r="E142" s="382" t="str">
        <f>IF(D141="",IF(F141="","",F141/I141),J141*D141)</f>
        <v/>
      </c>
      <c r="F142" s="381" t="str">
        <f>IF(D141="",IF(E141="","",E141*I141),E142*I141)</f>
        <v/>
      </c>
      <c r="G142" s="704" t="str">
        <f>G141</f>
        <v/>
      </c>
      <c r="H142" s="130"/>
      <c r="I142" s="717"/>
      <c r="J142" s="718"/>
      <c r="K142" s="718"/>
      <c r="L142" s="719"/>
      <c r="M142" s="701" t="str">
        <f>M141</f>
        <v/>
      </c>
    </row>
    <row r="143" spans="1:24" ht="15" customHeight="1">
      <c r="B143" s="7"/>
      <c r="C143" s="766" t="s">
        <v>9</v>
      </c>
      <c r="D143" s="360"/>
      <c r="E143" s="748" t="s">
        <v>889</v>
      </c>
      <c r="F143" s="748" t="s">
        <v>1287</v>
      </c>
      <c r="G143" s="750" t="s">
        <v>7</v>
      </c>
      <c r="I143" s="8"/>
      <c r="J143" s="8"/>
      <c r="L143" s="5"/>
    </row>
    <row r="144" spans="1:24" ht="13.5" thickBot="1">
      <c r="B144" s="7"/>
      <c r="C144" s="767"/>
      <c r="D144" s="361"/>
      <c r="E144" s="749"/>
      <c r="F144" s="749"/>
      <c r="G144" s="751"/>
    </row>
    <row r="145" spans="1:26" ht="13.5" thickBot="1">
      <c r="B145" s="153" t="s">
        <v>938</v>
      </c>
      <c r="C145" s="157">
        <f>COUNT(F63:F142)</f>
        <v>29</v>
      </c>
      <c r="D145" s="370">
        <f>IF(SUM(D63:D102)&gt;1,"&gt; 100%",SUM(D63:D102))</f>
        <v>0.37749999999999995</v>
      </c>
      <c r="E145" s="200">
        <f>SUM(E63:E142)</f>
        <v>2.2624533911325475</v>
      </c>
      <c r="F145" s="371">
        <f>SUM(F63:F142)</f>
        <v>19.900000000000002</v>
      </c>
      <c r="G145" s="158">
        <f>IF(ISERROR(AVERAGE(G63:G142)),0,AVERAGE(G63:G142))</f>
        <v>5.4482758620689653</v>
      </c>
      <c r="I145" s="745" t="s">
        <v>1209</v>
      </c>
      <c r="J145" s="746"/>
      <c r="K145" s="747"/>
      <c r="L145" s="156">
        <f>SUM(L63:L142)</f>
        <v>341.74638310728204</v>
      </c>
    </row>
    <row r="146" spans="1:26">
      <c r="C146" s="9"/>
      <c r="D146" s="372"/>
      <c r="E146" s="373"/>
      <c r="F146" s="372"/>
      <c r="G146" s="1"/>
      <c r="K146" s="2"/>
      <c r="L146" s="2"/>
      <c r="M146" s="2"/>
      <c r="N146" s="2"/>
      <c r="O146" s="2"/>
      <c r="P146" s="2"/>
    </row>
    <row r="147" spans="1:26" ht="13.5" thickBot="1">
      <c r="D147" s="366"/>
      <c r="E147" s="366"/>
      <c r="F147" s="366"/>
      <c r="G147" s="12"/>
      <c r="H147" s="133"/>
      <c r="X147" s="7">
        <v>0</v>
      </c>
    </row>
    <row r="148" spans="1:26" ht="16.5" thickBot="1">
      <c r="A148" s="178"/>
      <c r="B148" s="188" t="s">
        <v>1203</v>
      </c>
      <c r="C148" s="173"/>
      <c r="D148" s="367"/>
      <c r="E148" s="368"/>
      <c r="F148" s="367"/>
      <c r="G148" s="173"/>
      <c r="H148" s="175"/>
      <c r="I148" s="176"/>
      <c r="J148" s="176"/>
      <c r="K148" s="173"/>
      <c r="L148" s="173"/>
      <c r="M148" s="177"/>
    </row>
    <row r="149" spans="1:26" ht="25.5" customHeight="1">
      <c r="B149" s="193" t="s">
        <v>857</v>
      </c>
      <c r="C149" s="187" t="s">
        <v>885</v>
      </c>
      <c r="D149" s="369"/>
      <c r="E149" s="425" t="s">
        <v>1317</v>
      </c>
      <c r="F149" s="426" t="s">
        <v>1318</v>
      </c>
      <c r="G149" s="752" t="s">
        <v>8</v>
      </c>
      <c r="H149" s="169"/>
      <c r="I149" s="170" t="s">
        <v>888</v>
      </c>
      <c r="J149" s="762" t="s">
        <v>1215</v>
      </c>
      <c r="K149" s="757" t="s">
        <v>1202</v>
      </c>
      <c r="L149" s="171"/>
      <c r="M149" s="172"/>
      <c r="X149" s="7">
        <v>0</v>
      </c>
    </row>
    <row r="150" spans="1:26">
      <c r="B150" s="194"/>
      <c r="C150" s="186" t="s">
        <v>1067</v>
      </c>
      <c r="D150" s="744" t="s">
        <v>1065</v>
      </c>
      <c r="E150" s="744"/>
      <c r="F150" s="744"/>
      <c r="G150" s="753"/>
      <c r="H150" s="128" t="s">
        <v>894</v>
      </c>
      <c r="I150" s="127" t="s">
        <v>895</v>
      </c>
      <c r="J150" s="763"/>
      <c r="K150" s="758"/>
      <c r="L150" s="128" t="s">
        <v>887</v>
      </c>
      <c r="M150" s="151" t="s">
        <v>223</v>
      </c>
    </row>
    <row r="151" spans="1:26">
      <c r="A151" s="6">
        <v>1</v>
      </c>
      <c r="B151" s="146" t="s">
        <v>578</v>
      </c>
      <c r="C151" s="147" t="str">
        <f>IF(ISERROR(VLOOKUP(B151,Woody_Table,2,FALSE)),"",VLOOKUP(B151,Woody_Table,2,FALSE))</f>
        <v xml:space="preserve">Rosa palustris  </v>
      </c>
      <c r="D151" s="354"/>
      <c r="E151" s="355"/>
      <c r="F151" s="359">
        <v>0.1</v>
      </c>
      <c r="G151" s="132">
        <f>IF(ISNA(VLOOKUP(B151,Woody_Table,31,FALSE)),"",VLOOKUP(B151,Woody_Table,31,FALSE))</f>
        <v>7</v>
      </c>
      <c r="H151" s="124">
        <f>IF(ISNA(VLOOKUP(B151,Woody_Table,25,FALSE)),"",VLOOKUP(B151,Woody_Table,25,FALSE))</f>
        <v>150</v>
      </c>
      <c r="I151" s="123">
        <f>IF(ISNA(VLOOKUP(B151,Woody_Table,28,FALSE)),"",VLOOKUP(B151,Woody_Table,28,FALSE))</f>
        <v>0.58769513314967858</v>
      </c>
      <c r="J151" s="123">
        <f>IF(ISNA(VLOOKUP(B151,Woody_Table,21,FALSE)),"",VLOOKUP(B151,Woody_Table,21,FALSE))</f>
        <v>59.5546875</v>
      </c>
      <c r="K151" s="140">
        <f>IF(D152&gt;0,D152,0)</f>
        <v>2.5000000000000001E-3</v>
      </c>
      <c r="L151" s="143">
        <f>IF(D151="",IF(E151="",IF(F151="",0,F151/I151*H151),E151*H151),E152*H151)</f>
        <v>25.5234375</v>
      </c>
      <c r="M151" s="148" t="str">
        <f>IF(ISNA(VLOOKUP(B151,Woody_Table,32,FALSE)),"",VLOOKUP(B151,Woody_Table,32,FALSE))</f>
        <v>Sub-Shrub</v>
      </c>
      <c r="X151" s="7" t="s">
        <v>902</v>
      </c>
      <c r="Z151" t="s">
        <v>581</v>
      </c>
    </row>
    <row r="152" spans="1:26">
      <c r="A152" s="6"/>
      <c r="B152" s="698" t="str">
        <f>C151</f>
        <v xml:space="preserve">Rosa palustris  </v>
      </c>
      <c r="C152" s="149" t="str">
        <f>IF(ISERROR(VLOOKUP(B151,Woody_Table,30,FALSE)),"",VLOOKUP(B151,Woody_Table,30,FALSE))</f>
        <v>Summer</v>
      </c>
      <c r="D152" s="356">
        <f>IF(E151="",IF(F151="","",F151/$F$165),F152/$F$165)</f>
        <v>2.5000000000000001E-3</v>
      </c>
      <c r="E152" s="357">
        <f>IF(D151="",IF(F151="","",F151/I151),J151*D151)</f>
        <v>0.17015625000000001</v>
      </c>
      <c r="F152" s="357" t="str">
        <f>IF(D151="",IF(E151="","",E151*I151),E152*I151)</f>
        <v/>
      </c>
      <c r="G152" s="705">
        <f>G151</f>
        <v>7</v>
      </c>
      <c r="H152" s="126"/>
      <c r="I152" s="706"/>
      <c r="J152" s="707"/>
      <c r="K152" s="707"/>
      <c r="L152" s="708"/>
      <c r="M152" s="701" t="str">
        <f>M151</f>
        <v>Sub-Shrub</v>
      </c>
    </row>
    <row r="153" spans="1:26">
      <c r="A153" s="6">
        <v>2</v>
      </c>
      <c r="B153" s="146"/>
      <c r="C153" s="147" t="str">
        <f>IF(ISERROR(VLOOKUP(B153,Woody_Table,2,FALSE)),"",VLOOKUP(B153,Woody_Table,2,FALSE))</f>
        <v/>
      </c>
      <c r="D153" s="354"/>
      <c r="E153" s="355"/>
      <c r="F153" s="359"/>
      <c r="G153" s="132" t="str">
        <f>IF(ISNA(VLOOKUP(B153,Woody_Table,31,FALSE)),"",VLOOKUP(B153,Woody_Table,31,FALSE))</f>
        <v/>
      </c>
      <c r="H153" s="124" t="str">
        <f>IF(ISNA(VLOOKUP(B153,Woody_Table,25,FALSE)),"",VLOOKUP(B153,Woody_Table,25,FALSE))</f>
        <v/>
      </c>
      <c r="I153" s="123" t="str">
        <f>IF(ISNA(VLOOKUP(B153,Woody_Table,28,FALSE)),"",VLOOKUP(B153,Woody_Table,28,FALSE))</f>
        <v/>
      </c>
      <c r="J153" s="123" t="str">
        <f>IF(ISNA(VLOOKUP(B153,Woody_Table,21,FALSE)),"",VLOOKUP(B153,Woody_Table,21,FALSE))</f>
        <v/>
      </c>
      <c r="K153" s="140" t="str">
        <f>IF(D154&gt;0,D154,0)</f>
        <v/>
      </c>
      <c r="L153" s="143">
        <f>IF(D153="",IF(E153="",IF(F153="",0,F153/I153*H153),E153*H153),E154*H153)</f>
        <v>0</v>
      </c>
      <c r="M153" s="148" t="str">
        <f>IF(ISNA(VLOOKUP(B153,Woody_Table,32,FALSE)),"",VLOOKUP(B153,Woody_Table,32,FALSE))</f>
        <v/>
      </c>
      <c r="X153" s="7" t="s">
        <v>902</v>
      </c>
    </row>
    <row r="154" spans="1:26">
      <c r="A154" s="6"/>
      <c r="B154" s="698" t="str">
        <f>C153</f>
        <v/>
      </c>
      <c r="C154" s="149" t="str">
        <f>IF(ISERROR(VLOOKUP(B153,Woody_Table,30,FALSE)),"",VLOOKUP(B153,Woody_Table,30,FALSE))</f>
        <v/>
      </c>
      <c r="D154" s="356" t="str">
        <f>IF(E153="",IF(F153="","",F153/$F$165),F154/$F$165)</f>
        <v/>
      </c>
      <c r="E154" s="357" t="str">
        <f>IF(D153="",IF(F153="","",F153/I153),J153*D153)</f>
        <v/>
      </c>
      <c r="F154" s="357" t="str">
        <f>IF(D153="",IF(E153="","",E153*I153),E154*I153)</f>
        <v/>
      </c>
      <c r="G154" s="705" t="str">
        <f>G153</f>
        <v/>
      </c>
      <c r="H154" s="126"/>
      <c r="I154" s="706"/>
      <c r="J154" s="707"/>
      <c r="K154" s="707"/>
      <c r="L154" s="708"/>
      <c r="M154" s="701" t="str">
        <f>M153</f>
        <v/>
      </c>
    </row>
    <row r="155" spans="1:26">
      <c r="A155" s="6">
        <v>3</v>
      </c>
      <c r="B155" s="146"/>
      <c r="C155" s="147" t="str">
        <f>IF(ISERROR(VLOOKUP(B155,Woody_Table,2,FALSE)),"",VLOOKUP(B155,Woody_Table,2,FALSE))</f>
        <v/>
      </c>
      <c r="D155" s="354"/>
      <c r="E155" s="355"/>
      <c r="F155" s="359"/>
      <c r="G155" s="132" t="str">
        <f>IF(ISNA(VLOOKUP(B155,Woody_Table,31,FALSE)),"",VLOOKUP(B155,Woody_Table,31,FALSE))</f>
        <v/>
      </c>
      <c r="H155" s="124" t="str">
        <f>IF(ISNA(VLOOKUP(B155,Woody_Table,25,FALSE)),"",VLOOKUP(B155,Woody_Table,25,FALSE))</f>
        <v/>
      </c>
      <c r="I155" s="123" t="str">
        <f>IF(ISNA(VLOOKUP(B155,Woody_Table,28,FALSE)),"",VLOOKUP(B155,Woody_Table,28,FALSE))</f>
        <v/>
      </c>
      <c r="J155" s="123" t="str">
        <f>IF(ISNA(VLOOKUP(B155,Woody_Table,21,FALSE)),"",VLOOKUP(B155,Woody_Table,21,FALSE))</f>
        <v/>
      </c>
      <c r="K155" s="140" t="str">
        <f>IF(D156&gt;0,D156,0)</f>
        <v/>
      </c>
      <c r="L155" s="143">
        <f>IF(D155="",IF(E155="",IF(F155="",0,F155/I155*H155),E155*H155),E156*H155)</f>
        <v>0</v>
      </c>
      <c r="M155" s="148" t="str">
        <f>IF(ISNA(VLOOKUP(B155,Woody_Table,32,FALSE)),"",VLOOKUP(B155,Woody_Table,32,FALSE))</f>
        <v/>
      </c>
      <c r="X155" s="7" t="s">
        <v>902</v>
      </c>
    </row>
    <row r="156" spans="1:26">
      <c r="A156" s="6"/>
      <c r="B156" s="698" t="str">
        <f>C155</f>
        <v/>
      </c>
      <c r="C156" s="149" t="str">
        <f>IF(ISERROR(VLOOKUP(B155,Woody_Table,30,FALSE)),"",VLOOKUP(B155,Woody_Table,30,FALSE))</f>
        <v/>
      </c>
      <c r="D156" s="356" t="str">
        <f>IF(E155="",IF(F155="","",F155/$F$165),F156/$F$165)</f>
        <v/>
      </c>
      <c r="E156" s="357" t="str">
        <f>IF(D155="",IF(F155="","",F155/I155),J155*D155)</f>
        <v/>
      </c>
      <c r="F156" s="357" t="str">
        <f>IF(D155="",IF(E155="","",E155*I155),E156*I155)</f>
        <v/>
      </c>
      <c r="G156" s="705" t="str">
        <f>G155</f>
        <v/>
      </c>
      <c r="H156" s="126"/>
      <c r="I156" s="706"/>
      <c r="J156" s="707"/>
      <c r="K156" s="707"/>
      <c r="L156" s="708"/>
      <c r="M156" s="701" t="str">
        <f>M155</f>
        <v/>
      </c>
    </row>
    <row r="157" spans="1:26">
      <c r="A157" s="6">
        <v>4</v>
      </c>
      <c r="B157" s="146"/>
      <c r="C157" s="147" t="str">
        <f>IF(ISERROR(VLOOKUP(B157,Woody_Table,2,FALSE)),"",VLOOKUP(B157,Woody_Table,2,FALSE))</f>
        <v/>
      </c>
      <c r="D157" s="354"/>
      <c r="E157" s="355"/>
      <c r="F157" s="359"/>
      <c r="G157" s="132" t="str">
        <f>IF(ISNA(VLOOKUP(B157,Woody_Table,31,FALSE)),"",VLOOKUP(B157,Woody_Table,31,FALSE))</f>
        <v/>
      </c>
      <c r="H157" s="124" t="str">
        <f>IF(ISNA(VLOOKUP(B157,Woody_Table,25,FALSE)),"",VLOOKUP(B157,Woody_Table,25,FALSE))</f>
        <v/>
      </c>
      <c r="I157" s="123" t="str">
        <f>IF(ISNA(VLOOKUP(B157,Woody_Table,28,FALSE)),"",VLOOKUP(B157,Woody_Table,28,FALSE))</f>
        <v/>
      </c>
      <c r="J157" s="123" t="str">
        <f>IF(ISNA(VLOOKUP(B157,Woody_Table,21,FALSE)),"",VLOOKUP(B157,Woody_Table,21,FALSE))</f>
        <v/>
      </c>
      <c r="K157" s="140" t="str">
        <f>IF(D158&gt;0,D158,0)</f>
        <v/>
      </c>
      <c r="L157" s="143">
        <f>IF(D157="",IF(E157="",IF(F157="",0,F157/I157*H157),E157*H157),E158*H157)</f>
        <v>0</v>
      </c>
      <c r="M157" s="148" t="str">
        <f>IF(ISNA(VLOOKUP(B157,Woody_Table,32,FALSE)),"",VLOOKUP(B157,Woody_Table,32,FALSE))</f>
        <v/>
      </c>
      <c r="X157" s="7" t="s">
        <v>902</v>
      </c>
    </row>
    <row r="158" spans="1:26">
      <c r="A158" s="6"/>
      <c r="B158" s="698" t="str">
        <f>C157</f>
        <v/>
      </c>
      <c r="C158" s="149" t="str">
        <f>IF(ISERROR(VLOOKUP(B157,Woody_Table,30,FALSE)),"",VLOOKUP(B157,Woody_Table,30,FALSE))</f>
        <v/>
      </c>
      <c r="D158" s="356" t="str">
        <f>IF(E157="",IF(F157="","",F157/$F$165),F158/$F$165)</f>
        <v/>
      </c>
      <c r="E158" s="357" t="str">
        <f>IF(D157="",IF(F157="","",F157/I157),J157*D157)</f>
        <v/>
      </c>
      <c r="F158" s="357" t="str">
        <f>IF(D157="",IF(E157="","",E157*I157),E158*I157)</f>
        <v/>
      </c>
      <c r="G158" s="705" t="str">
        <f>G157</f>
        <v/>
      </c>
      <c r="H158" s="126"/>
      <c r="I158" s="706"/>
      <c r="J158" s="707"/>
      <c r="K158" s="707"/>
      <c r="L158" s="708"/>
      <c r="M158" s="701" t="str">
        <f>M157</f>
        <v/>
      </c>
    </row>
    <row r="159" spans="1:26">
      <c r="A159" s="6">
        <v>5</v>
      </c>
      <c r="B159" s="146"/>
      <c r="C159" s="147" t="str">
        <f>IF(ISERROR(VLOOKUP(B159,Woody_Table,2,FALSE)),"",VLOOKUP(B159,Woody_Table,2,FALSE))</f>
        <v/>
      </c>
      <c r="D159" s="354"/>
      <c r="E159" s="355"/>
      <c r="F159" s="359"/>
      <c r="G159" s="132" t="str">
        <f>IF(ISNA(VLOOKUP(B159,Woody_Table,31,FALSE)),"",VLOOKUP(B159,Woody_Table,31,FALSE))</f>
        <v/>
      </c>
      <c r="H159" s="124" t="str">
        <f>IF(ISNA(VLOOKUP(B159,Woody_Table,25,FALSE)),"",VLOOKUP(B159,Woody_Table,25,FALSE))</f>
        <v/>
      </c>
      <c r="I159" s="123" t="str">
        <f>IF(ISNA(VLOOKUP(B159,Woody_Table,28,FALSE)),"",VLOOKUP(B159,Woody_Table,28,FALSE))</f>
        <v/>
      </c>
      <c r="J159" s="123" t="str">
        <f>IF(ISNA(VLOOKUP(B159,Woody_Table,21,FALSE)),"",VLOOKUP(B159,Woody_Table,21,FALSE))</f>
        <v/>
      </c>
      <c r="K159" s="140" t="str">
        <f>IF(D160&gt;0,D160,0)</f>
        <v/>
      </c>
      <c r="L159" s="143">
        <f>IF(D159="",IF(E159="",IF(F159="",0,F159/I159*H159),E159*H159),E160*H159)</f>
        <v>0</v>
      </c>
      <c r="M159" s="148" t="str">
        <f>IF(ISNA(VLOOKUP(B159,Woody_Table,32,FALSE)),"",VLOOKUP(B159,Woody_Table,32,FALSE))</f>
        <v/>
      </c>
      <c r="X159" s="7" t="s">
        <v>902</v>
      </c>
    </row>
    <row r="160" spans="1:26">
      <c r="A160" s="6"/>
      <c r="B160" s="698" t="str">
        <f>C159</f>
        <v/>
      </c>
      <c r="C160" s="149" t="str">
        <f>IF(ISERROR(VLOOKUP(B159,Woody_Table,30,FALSE)),"",VLOOKUP(B159,Woody_Table,30,FALSE))</f>
        <v/>
      </c>
      <c r="D160" s="356" t="str">
        <f>IF(E159="",IF(F159="","",F159/$F$165),F160/$F$165)</f>
        <v/>
      </c>
      <c r="E160" s="357" t="str">
        <f>IF(D159="",IF(F159="","",F159/I159),J159*D159)</f>
        <v/>
      </c>
      <c r="F160" s="357" t="str">
        <f>IF(D159="",IF(E159="","",E159*I159),E160*I159)</f>
        <v/>
      </c>
      <c r="G160" s="705" t="str">
        <f>G159</f>
        <v/>
      </c>
      <c r="H160" s="126"/>
      <c r="I160" s="706"/>
      <c r="J160" s="707"/>
      <c r="K160" s="707"/>
      <c r="L160" s="708"/>
      <c r="M160" s="701" t="str">
        <f>M159</f>
        <v/>
      </c>
    </row>
    <row r="161" spans="1:24" ht="28.5" customHeight="1" thickBot="1">
      <c r="A161" s="6"/>
      <c r="B161" s="7"/>
      <c r="C161" s="159" t="s">
        <v>9</v>
      </c>
      <c r="D161" s="369" t="s">
        <v>886</v>
      </c>
      <c r="E161" s="738" t="s">
        <v>1317</v>
      </c>
      <c r="F161" s="374" t="s">
        <v>1287</v>
      </c>
      <c r="G161" s="197" t="s">
        <v>7</v>
      </c>
      <c r="I161" s="84"/>
      <c r="J161" s="85"/>
      <c r="L161" s="3"/>
    </row>
    <row r="162" spans="1:24" ht="13.5" thickBot="1">
      <c r="B162" s="160" t="s">
        <v>1204</v>
      </c>
      <c r="C162" s="157">
        <f>COUNT(F151:F160)</f>
        <v>1</v>
      </c>
      <c r="D162" s="375">
        <f>IF(SUM(D151:D160)&gt;1,"&gt; 100%",SUM(D151:D160))</f>
        <v>2.5000000000000001E-3</v>
      </c>
      <c r="E162" s="371">
        <f>SUM(E151:E160)</f>
        <v>0.17015625000000001</v>
      </c>
      <c r="F162" s="371">
        <f>SUM(F151:F160)</f>
        <v>0.1</v>
      </c>
      <c r="G162" s="158">
        <f>IF(ISERROR(AVERAGE(G151:G160)),0,AVERAGE(G151:G160))</f>
        <v>7</v>
      </c>
      <c r="I162" s="759" t="s">
        <v>1205</v>
      </c>
      <c r="J162" s="760"/>
      <c r="K162" s="761"/>
      <c r="L162" s="156">
        <f>SUM(L151:L160)</f>
        <v>25.5234375</v>
      </c>
    </row>
    <row r="163" spans="1:24" ht="13.5" thickBot="1">
      <c r="C163" s="9"/>
      <c r="D163" s="9"/>
      <c r="E163" s="9"/>
      <c r="F163" s="9"/>
      <c r="G163" s="97"/>
      <c r="K163" s="2"/>
      <c r="L163" s="2"/>
      <c r="M163" s="2"/>
      <c r="N163" s="2"/>
      <c r="O163" s="2"/>
      <c r="P163" s="2"/>
    </row>
    <row r="164" spans="1:24" ht="48" thickBot="1">
      <c r="D164" s="98" t="s">
        <v>886</v>
      </c>
      <c r="E164" s="163" t="s">
        <v>889</v>
      </c>
      <c r="F164" s="163" t="s">
        <v>1210</v>
      </c>
      <c r="G164" s="164" t="s">
        <v>7</v>
      </c>
      <c r="H164" s="163" t="s">
        <v>9</v>
      </c>
      <c r="I164" s="163" t="s">
        <v>10</v>
      </c>
      <c r="L164" s="2"/>
    </row>
    <row r="165" spans="1:24" s="144" customFormat="1" ht="33.75" customHeight="1" thickBot="1">
      <c r="C165" s="161" t="s">
        <v>900</v>
      </c>
      <c r="D165" s="162">
        <f>IF(OR(SUM(D145,D57,D162)&gt;1,D145="&gt; 100%",D57="&gt; 100%",D162="&gt; 100%"),"&gt; 100%",SUM(D145,D57,D162))</f>
        <v>0.87999999999999978</v>
      </c>
      <c r="E165" s="199">
        <f>SUM(E145,E57,E162)</f>
        <v>5.4150190988489193</v>
      </c>
      <c r="F165" s="165">
        <f>SUM(F162+F145+F57)</f>
        <v>40</v>
      </c>
      <c r="G165" s="166">
        <f>IF(ISERROR(AVERAGE(G151:G160,G63:G142,G15:G54)),0,AVERAGE(G151:G160,G63:G142,G15:G54))</f>
        <v>5.4444444444444446</v>
      </c>
      <c r="H165" s="167">
        <f>SUM(C162,C145,C57)</f>
        <v>45</v>
      </c>
      <c r="I165" s="166">
        <f>SQRT(H165)*G165</f>
        <v>36.522443632496568</v>
      </c>
      <c r="J165" s="755" t="s">
        <v>901</v>
      </c>
      <c r="K165" s="756"/>
      <c r="L165" s="168">
        <f>SUM(L145,L57,L162)</f>
        <v>855.02822069658862</v>
      </c>
      <c r="X165" s="145"/>
    </row>
    <row r="166" spans="1:24">
      <c r="J166" s="13"/>
      <c r="L166" s="2"/>
    </row>
    <row r="169" spans="1:24">
      <c r="E169" s="12"/>
    </row>
    <row r="171" spans="1:24">
      <c r="C171" s="30"/>
      <c r="E171" s="12"/>
    </row>
    <row r="172" spans="1:24">
      <c r="E172" s="12"/>
    </row>
  </sheetData>
  <sheetProtection password="9A0B" sheet="1" objects="1" scenarios="1" formatColumns="0" formatRows="0"/>
  <mergeCells count="25">
    <mergeCell ref="C55:C56"/>
    <mergeCell ref="C143:C144"/>
    <mergeCell ref="I57:K57"/>
    <mergeCell ref="G13:G14"/>
    <mergeCell ref="D14:F14"/>
    <mergeCell ref="D62:F62"/>
    <mergeCell ref="G55:G56"/>
    <mergeCell ref="E55:E56"/>
    <mergeCell ref="F55:F56"/>
    <mergeCell ref="G61:G62"/>
    <mergeCell ref="H4:H10"/>
    <mergeCell ref="J165:K165"/>
    <mergeCell ref="K149:K150"/>
    <mergeCell ref="I162:K162"/>
    <mergeCell ref="J149:J150"/>
    <mergeCell ref="J13:J14"/>
    <mergeCell ref="K13:K14"/>
    <mergeCell ref="K61:K62"/>
    <mergeCell ref="J61:J62"/>
    <mergeCell ref="D150:F150"/>
    <mergeCell ref="I145:K145"/>
    <mergeCell ref="E143:E144"/>
    <mergeCell ref="F143:F144"/>
    <mergeCell ref="G143:G144"/>
    <mergeCell ref="G149:G150"/>
  </mergeCells>
  <phoneticPr fontId="27" type="noConversion"/>
  <conditionalFormatting sqref="F165">
    <cfRule type="cellIs" dxfId="34" priority="35" stopIfTrue="1" operator="lessThan">
      <formula>40</formula>
    </cfRule>
  </conditionalFormatting>
  <conditionalFormatting sqref="I15:J15 I17:J17 I19:J19 I21:J21 I23:J23 I25:J25 I27:J27 I29:J29 I31:J31 I33:J33 I35:J35 I37:J37 I39:J39 I41:J41 I43:J43 I45:J45 I47:J47 I49:J49 I51:J51 I53:J53">
    <cfRule type="cellIs" dxfId="33" priority="33" stopIfTrue="1" operator="lessThan">
      <formula>0.01</formula>
    </cfRule>
    <cfRule type="cellIs" dxfId="32" priority="34" stopIfTrue="1" operator="lessThan">
      <formula>0.1</formula>
    </cfRule>
  </conditionalFormatting>
  <conditionalFormatting sqref="K53">
    <cfRule type="cellIs" dxfId="31" priority="26" stopIfTrue="1" operator="lessThan">
      <formula>0.0000001</formula>
    </cfRule>
  </conditionalFormatting>
  <conditionalFormatting sqref="L15 L17 L19 L21 L23 L25 L27 L29 L31 L33 L35 L37 L39 L41 L43 L45 L47 L49 L51 L53 L63 L65 L67 L69 L71 L73 L75 L77 L79 L81 L83 L85 L87 L159 L93 L95 L97 L99 L101 L103 L105 I108:L108 L107 L109 L111 L113 L115 L117 L119 L121 L123 L125 L127 L129 L131 L133 L135 L137 L139 L141 L151 L153 L155 L157 I89:J90 L89:L91 K90">
    <cfRule type="cellIs" dxfId="30" priority="25" stopIfTrue="1" operator="lessThan">
      <formula>1</formula>
    </cfRule>
  </conditionalFormatting>
  <conditionalFormatting sqref="I65:J65 I67:J67 I69:J69 I71:J71 I73:J73 I75:J75 I77:J77 I79:J79 I81:J81 I83:J83 I85:J85 I87:J87 I89:J89 I91:J91 I93:J93 I95:J95 I97:J97 I99:J99 I101:J101 I103:J103 I105:J105 I107:J107 I109:J109 I111:J111 I113:J113 I115:J115 I117:J117 I119:J119 I121:J121 I123:J123 I125:J125 I127:J127 I129:J129 I131:J131 I133:J133 I135:J135 I137:J137 I139:J139 I141:J141 I151:J151 I153:J153 I155:J155 I157:J157 I159:J159">
    <cfRule type="cellIs" dxfId="29" priority="22" stopIfTrue="1" operator="lessThan">
      <formula>0.1</formula>
    </cfRule>
    <cfRule type="cellIs" dxfId="28" priority="23" stopIfTrue="1" operator="lessThan">
      <formula>1</formula>
    </cfRule>
  </conditionalFormatting>
  <conditionalFormatting sqref="E15:F54 E63:F142 E151:F160">
    <cfRule type="cellIs" dxfId="27" priority="1" stopIfTrue="1" operator="greaterThanOrEqual">
      <formula>0.1</formula>
    </cfRule>
    <cfRule type="cellIs" dxfId="26" priority="2" stopIfTrue="1" operator="greaterThanOrEqual">
      <formula>0.01</formula>
    </cfRule>
    <cfRule type="cellIs" dxfId="25" priority="3" stopIfTrue="1" operator="greaterThanOrEqual">
      <formula>0.001</formula>
    </cfRule>
    <cfRule type="cellIs" dxfId="24" priority="4" stopIfTrue="1" operator="greaterThanOrEqual">
      <formula>0.0001</formula>
    </cfRule>
    <cfRule type="cellIs" dxfId="23" priority="5" stopIfTrue="1" operator="greaterThanOrEqual">
      <formula>0.00001</formula>
    </cfRule>
    <cfRule type="cellIs" dxfId="22" priority="6" stopIfTrue="1" operator="greaterThanOrEqual">
      <formula>0.000001</formula>
    </cfRule>
  </conditionalFormatting>
  <dataValidations count="3">
    <dataValidation type="list" allowBlank="1" showInputMessage="1" showErrorMessage="1" sqref="B15 B53 B51 B49 B47 B45 B43 B41 B39 B37 B35 B33 B31 B29 B27 B25 B23 B21 B19 B17">
      <formula1>Grass_Select</formula1>
    </dataValidation>
    <dataValidation type="list" allowBlank="1" showInputMessage="1" showErrorMessage="1" sqref="B63 B65 B67 B69 B71 B73 B75 B77 B79 B81 B83 B85 B87 B89 B91 B93 B95 B97 B99 B101 B103 B105 B107 B109 B111 B113 B115 B117 B119 B121 B123 B125 B127 B129 B131 B133 B135 B137 B139 B141">
      <formula1>Forb_Select</formula1>
    </dataValidation>
    <dataValidation type="list" allowBlank="1" showInputMessage="1" showErrorMessage="1" sqref="B151 B153 B155 B157 B159">
      <formula1>Woody_Select</formula1>
    </dataValidation>
  </dataValidations>
  <pageMargins left="0.1" right="0.1" top="0.1" bottom="0.1" header="0.5" footer="0.1"/>
  <pageSetup scale="68" fitToHeight="10" orientation="landscape" r:id="rId1"/>
  <headerFooter alignWithMargins="0">
    <oddFooter>&amp;L&amp;"Arial,Bold"&amp;K06-049Iowa Natural Resources Conservation Service&amp;C&amp;"Arial,Bold"&amp;K06-049Native Seed Mix Calculator Page &amp;P&amp;R&amp;"Arial,Bold"&amp;K06-049Mix Developed: &amp;D</oddFooter>
  </headerFooter>
  <rowBreaks count="2" manualBreakCount="2">
    <brk id="58" min="1" max="12" man="1"/>
    <brk id="122" min="1" max="12" man="1"/>
  </rowBreaks>
  <ignoredErrors>
    <ignoredError sqref="M64 M67 M70 M76 M79 M82 M85 M88 M91 M94 M97 M100 M103 M106 M112 M115 M118 M121 M124 M126 M128 M130 M132 M134 M136 M138 M140 M109 M73 M16 M19 M22 M25 M28 M30 M32 M34 M36 M38 M40 M42 M44 M46 M48 M50 M52" formula="1"/>
  </ignoredErrors>
  <drawing r:id="rId2"/>
  <legacyDrawing r:id="rId3"/>
</worksheet>
</file>

<file path=xl/worksheets/sheet3.xml><?xml version="1.0" encoding="utf-8"?>
<worksheet xmlns="http://schemas.openxmlformats.org/spreadsheetml/2006/main" xmlns:r="http://schemas.openxmlformats.org/officeDocument/2006/relationships">
  <sheetPr codeName="SeedingPlan">
    <tabColor rgb="FF92D050"/>
    <pageSetUpPr fitToPage="1"/>
  </sheetPr>
  <dimension ref="A1:R114"/>
  <sheetViews>
    <sheetView showGridLines="0" zoomScale="125" zoomScaleNormal="125" workbookViewId="0">
      <selection activeCell="B6" sqref="B6:C6"/>
    </sheetView>
  </sheetViews>
  <sheetFormatPr defaultRowHeight="12.75"/>
  <cols>
    <col min="1" max="1" width="16.85546875" style="1" customWidth="1"/>
    <col min="2" max="2" width="21.85546875" style="1" bestFit="1" customWidth="1"/>
    <col min="3" max="3" width="22.85546875" style="1" bestFit="1" customWidth="1"/>
    <col min="4" max="4" width="10.7109375" style="15" customWidth="1"/>
    <col min="5" max="5" width="10.7109375" style="1" customWidth="1"/>
    <col min="6" max="6" width="14.7109375" style="4" customWidth="1"/>
    <col min="7" max="15" width="9.140625" style="4"/>
    <col min="16" max="16384" width="9.140625" style="1"/>
  </cols>
  <sheetData>
    <row r="1" spans="1:18" ht="18" customHeight="1">
      <c r="A1" s="59"/>
      <c r="B1" s="59"/>
      <c r="C1" s="28"/>
      <c r="D1" s="63"/>
      <c r="E1" s="785" t="s">
        <v>906</v>
      </c>
      <c r="F1" s="785"/>
      <c r="G1" s="17"/>
      <c r="H1" s="33"/>
      <c r="I1" s="33"/>
      <c r="J1" s="33"/>
      <c r="K1" s="33"/>
      <c r="L1" s="33"/>
      <c r="M1" s="33"/>
      <c r="N1" s="33"/>
      <c r="O1" s="33"/>
      <c r="P1" s="10"/>
      <c r="Q1" s="10"/>
      <c r="R1" s="10"/>
    </row>
    <row r="2" spans="1:18" ht="17.25" customHeight="1">
      <c r="A2" s="59"/>
      <c r="B2" s="59"/>
      <c r="C2" s="28"/>
      <c r="D2" s="63"/>
      <c r="E2" s="786">
        <v>35827</v>
      </c>
      <c r="F2" s="786"/>
      <c r="G2" s="73"/>
      <c r="H2" s="33"/>
      <c r="I2" s="33"/>
      <c r="J2" s="33"/>
      <c r="K2" s="33"/>
      <c r="L2" s="33"/>
      <c r="M2" s="33"/>
      <c r="N2" s="33"/>
      <c r="O2" s="33"/>
      <c r="P2" s="10"/>
      <c r="Q2" s="10"/>
      <c r="R2" s="10"/>
    </row>
    <row r="3" spans="1:18" ht="16.5" customHeight="1">
      <c r="A3" s="59"/>
      <c r="B3" s="59"/>
      <c r="C3" s="28"/>
      <c r="D3" s="63"/>
      <c r="E3" s="785" t="s">
        <v>907</v>
      </c>
      <c r="F3" s="785"/>
      <c r="G3" s="17"/>
      <c r="H3" s="33"/>
      <c r="I3" s="33"/>
      <c r="J3" s="33"/>
      <c r="K3" s="33"/>
      <c r="L3" s="33"/>
      <c r="M3" s="33"/>
      <c r="N3" s="33"/>
      <c r="O3" s="33"/>
      <c r="P3" s="10"/>
      <c r="Q3" s="10"/>
      <c r="R3" s="10"/>
    </row>
    <row r="4" spans="1:18" ht="27.75">
      <c r="A4" s="787" t="s">
        <v>908</v>
      </c>
      <c r="B4" s="787"/>
      <c r="C4" s="787"/>
      <c r="D4" s="787"/>
      <c r="E4" s="787"/>
      <c r="F4" s="787"/>
      <c r="G4" s="24"/>
      <c r="H4" s="33"/>
      <c r="I4" s="24"/>
      <c r="J4" s="24"/>
      <c r="K4" s="24"/>
      <c r="L4" s="34"/>
      <c r="M4" s="34"/>
      <c r="N4" s="34"/>
      <c r="O4" s="34"/>
      <c r="P4" s="10"/>
      <c r="Q4" s="10"/>
      <c r="R4" s="10"/>
    </row>
    <row r="5" spans="1:18" s="32" customFormat="1" ht="12.75" customHeight="1">
      <c r="A5" s="60"/>
      <c r="B5" s="60"/>
      <c r="C5" s="60"/>
      <c r="D5" s="60"/>
      <c r="E5" s="60"/>
      <c r="F5" s="80"/>
      <c r="H5" s="31"/>
      <c r="I5" s="31"/>
      <c r="J5" s="31"/>
      <c r="K5" s="31"/>
      <c r="L5" s="35"/>
      <c r="M5" s="35"/>
      <c r="N5" s="35"/>
      <c r="O5" s="35"/>
      <c r="P5" s="36"/>
      <c r="Q5" s="36"/>
      <c r="R5" s="36"/>
    </row>
    <row r="6" spans="1:18" s="32" customFormat="1" ht="12.75" customHeight="1">
      <c r="A6" s="61" t="s">
        <v>909</v>
      </c>
      <c r="B6" s="784"/>
      <c r="C6" s="784"/>
      <c r="D6" s="81"/>
      <c r="E6" s="22" t="s">
        <v>910</v>
      </c>
      <c r="F6" s="78">
        <f ca="1">TODAY()</f>
        <v>40665</v>
      </c>
      <c r="G6" s="56" t="s">
        <v>913</v>
      </c>
      <c r="H6" s="31"/>
      <c r="I6" s="92" t="s">
        <v>1066</v>
      </c>
      <c r="J6" s="31"/>
      <c r="K6" s="31"/>
      <c r="L6" s="35"/>
      <c r="M6" s="35"/>
      <c r="N6" s="35"/>
      <c r="O6" s="35"/>
      <c r="P6" s="36"/>
      <c r="Q6" s="36"/>
      <c r="R6" s="36"/>
    </row>
    <row r="7" spans="1:18" s="32" customFormat="1" ht="12.75" customHeight="1">
      <c r="A7" s="29" t="s">
        <v>912</v>
      </c>
      <c r="B7" s="774"/>
      <c r="C7" s="774"/>
      <c r="D7" s="81"/>
      <c r="E7" s="22" t="s">
        <v>942</v>
      </c>
      <c r="F7" s="74"/>
      <c r="G7" s="87" t="s">
        <v>1062</v>
      </c>
      <c r="H7" s="31"/>
      <c r="I7" s="91">
        <f>COUNT(G14:G33)</f>
        <v>15</v>
      </c>
      <c r="J7" s="31"/>
      <c r="K7" s="31"/>
      <c r="L7" s="37"/>
      <c r="M7" s="37"/>
      <c r="N7" s="37"/>
      <c r="O7" s="37"/>
      <c r="P7" s="36"/>
      <c r="Q7" s="36"/>
      <c r="R7" s="36"/>
    </row>
    <row r="8" spans="1:18" ht="12.75" customHeight="1">
      <c r="A8" s="28"/>
      <c r="B8" s="28"/>
      <c r="C8" s="28"/>
      <c r="D8" s="63"/>
      <c r="E8" s="22" t="s">
        <v>943</v>
      </c>
      <c r="F8" s="74"/>
      <c r="G8" s="57" t="s">
        <v>914</v>
      </c>
      <c r="H8" s="33"/>
      <c r="I8" s="56">
        <f>COUNT(G37:G76)</f>
        <v>29</v>
      </c>
      <c r="J8" s="33"/>
      <c r="K8" s="33"/>
      <c r="L8" s="33"/>
      <c r="M8" s="33"/>
      <c r="N8" s="33"/>
      <c r="O8" s="33"/>
      <c r="P8" s="10"/>
      <c r="Q8" s="10"/>
      <c r="R8" s="10"/>
    </row>
    <row r="9" spans="1:18" ht="12.75" customHeight="1">
      <c r="A9" s="62" t="s">
        <v>911</v>
      </c>
      <c r="B9" s="18"/>
      <c r="C9" s="28" t="s">
        <v>940</v>
      </c>
      <c r="D9" s="730"/>
      <c r="E9" s="23" t="s">
        <v>944</v>
      </c>
      <c r="F9" s="74"/>
      <c r="G9" s="56" t="s">
        <v>915</v>
      </c>
      <c r="H9" s="33"/>
      <c r="I9" s="56">
        <f>COUNT(G80:G84)</f>
        <v>1</v>
      </c>
      <c r="J9" s="33"/>
      <c r="K9" s="33"/>
      <c r="L9" s="33"/>
      <c r="M9" s="33"/>
      <c r="N9" s="33"/>
      <c r="O9" s="33"/>
      <c r="P9" s="10"/>
      <c r="Q9" s="10"/>
      <c r="R9" s="10"/>
    </row>
    <row r="10" spans="1:18" ht="12.75" customHeight="1">
      <c r="A10" s="28"/>
      <c r="B10" s="28"/>
      <c r="C10" s="27"/>
      <c r="D10" s="19"/>
      <c r="E10" s="19"/>
      <c r="F10" s="82"/>
      <c r="G10" s="58" t="s">
        <v>1063</v>
      </c>
      <c r="H10" s="33"/>
      <c r="I10" s="33"/>
      <c r="J10" s="33"/>
      <c r="K10" s="33"/>
      <c r="L10" s="33"/>
      <c r="M10" s="33"/>
      <c r="N10" s="33"/>
      <c r="O10" s="33"/>
      <c r="P10" s="10"/>
      <c r="Q10" s="10"/>
      <c r="R10" s="10"/>
    </row>
    <row r="11" spans="1:18" ht="18">
      <c r="A11" s="777" t="s">
        <v>899</v>
      </c>
      <c r="B11" s="777"/>
      <c r="C11" s="777"/>
      <c r="D11" s="777"/>
      <c r="E11" s="777"/>
      <c r="F11" s="777"/>
      <c r="G11" s="58" t="s">
        <v>916</v>
      </c>
      <c r="J11" s="33"/>
    </row>
    <row r="12" spans="1:18">
      <c r="A12" s="28"/>
      <c r="B12" s="28"/>
      <c r="C12" s="28"/>
      <c r="D12" s="63"/>
      <c r="E12" s="28"/>
      <c r="F12" s="82"/>
      <c r="G12" s="58" t="s">
        <v>917</v>
      </c>
      <c r="J12" s="33"/>
    </row>
    <row r="13" spans="1:18" ht="26.25" thickBot="1">
      <c r="A13" s="72" t="s">
        <v>897</v>
      </c>
      <c r="B13" s="64" t="s">
        <v>885</v>
      </c>
      <c r="C13" s="64" t="s">
        <v>857</v>
      </c>
      <c r="D13" s="453" t="s">
        <v>11131</v>
      </c>
      <c r="E13" s="72" t="s">
        <v>11298</v>
      </c>
      <c r="F13" s="72" t="s">
        <v>941</v>
      </c>
      <c r="J13" s="33"/>
    </row>
    <row r="14" spans="1:18">
      <c r="A14" s="26">
        <v>1</v>
      </c>
      <c r="B14" s="28" t="str">
        <f>IF(ISNA(VLOOKUP(Calculator!B15,Grass_Table,2,FALSE)),"",VLOOKUP(Calculator!B15,Grass_Table,2,FALSE))</f>
        <v>Andropogon gerardii</v>
      </c>
      <c r="C14" s="129" t="str">
        <f>IF(ISBLANK(Calculator!B15),"",Calculator!B15)</f>
        <v>Big Bluestem</v>
      </c>
      <c r="D14" s="678">
        <f>IF(C14="","",SUM(Calculator!E15:E16))</f>
        <v>0.27224999999999999</v>
      </c>
      <c r="E14" s="678">
        <f t="shared" ref="E14:E33" si="0">IF(D14&lt;&gt;"",D14*$D$9,"")</f>
        <v>0</v>
      </c>
      <c r="F14" s="682">
        <f>IF(AND(E14&lt;&gt;"",Calculator!H15&gt;0),E14*Calculator!H15,"")</f>
        <v>0</v>
      </c>
      <c r="G14" s="90">
        <f>IF(LEN(B14)&gt;1,VALUE("1"),"")</f>
        <v>1</v>
      </c>
      <c r="J14" s="33"/>
    </row>
    <row r="15" spans="1:18">
      <c r="A15" s="26">
        <v>2</v>
      </c>
      <c r="B15" s="28" t="str">
        <f>IF(ISNA(VLOOKUP(Calculator!B17,Grass_Table,2,FALSE)),"",VLOOKUP(Calculator!B17,Grass_Table,2,FALSE))</f>
        <v>Calamagrostis canadensis</v>
      </c>
      <c r="C15" s="129" t="str">
        <f>IF(ISBLANK(Calculator!B17),"",Calculator!B17)</f>
        <v>Bluejoint</v>
      </c>
      <c r="D15" s="678">
        <f>IF(C15="","",SUM(Calculator!E17:E18))</f>
        <v>1.6529464285714286E-2</v>
      </c>
      <c r="E15" s="678">
        <f t="shared" si="0"/>
        <v>0</v>
      </c>
      <c r="F15" s="682">
        <f>IF(AND(E15&lt;&gt;"",Calculator!H17&gt;0),E15*Calculator!H17,"")</f>
        <v>0</v>
      </c>
      <c r="G15" s="90">
        <f t="shared" ref="G15:G33" si="1">IF(LEN(B15)&gt;1,VALUE("1"),"")</f>
        <v>1</v>
      </c>
      <c r="J15" s="33"/>
    </row>
    <row r="16" spans="1:18">
      <c r="A16" s="26">
        <v>3</v>
      </c>
      <c r="B16" s="28" t="str">
        <f>IF(ISNA(VLOOKUP(Calculator!B19,Grass_Table,2,FALSE)),"",VLOOKUP(Calculator!B19,Grass_Table,2,FALSE))</f>
        <v>Carex bebbii</v>
      </c>
      <c r="C16" s="129" t="str">
        <f>IF(ISBLANK(Calculator!B19),"",Calculator!B19)</f>
        <v>Bebb's Sedge</v>
      </c>
      <c r="D16" s="678">
        <f>IF(C16="","",SUM(Calculator!E19:E20))</f>
        <v>0.136125</v>
      </c>
      <c r="E16" s="678">
        <f t="shared" si="0"/>
        <v>0</v>
      </c>
      <c r="F16" s="682">
        <f>IF(AND(E16&lt;&gt;"",Calculator!H19&gt;0),E16*Calculator!H19,"")</f>
        <v>0</v>
      </c>
      <c r="G16" s="90">
        <f t="shared" si="1"/>
        <v>1</v>
      </c>
      <c r="J16" s="33"/>
    </row>
    <row r="17" spans="1:10">
      <c r="A17" s="26">
        <v>4</v>
      </c>
      <c r="B17" s="28" t="str">
        <f>IF(ISNA(VLOOKUP(Calculator!B21,Grass_Table,2,FALSE)),"",VLOOKUP(Calculator!B21,Grass_Table,2,FALSE))</f>
        <v>Carex bicknellii</v>
      </c>
      <c r="C17" s="129" t="str">
        <f>IF(ISBLANK(Calculator!B21),"",Calculator!B21)</f>
        <v>Bicknell's Sedge</v>
      </c>
      <c r="D17" s="678">
        <f>IF(C17="","",SUM(Calculator!E21:E22))</f>
        <v>0.16014705882352939</v>
      </c>
      <c r="E17" s="678">
        <f t="shared" si="0"/>
        <v>0</v>
      </c>
      <c r="F17" s="682">
        <f>IF(AND(E17&lt;&gt;"",Calculator!H21&gt;0),E17*Calculator!H21,"")</f>
        <v>0</v>
      </c>
      <c r="G17" s="90">
        <f t="shared" si="1"/>
        <v>1</v>
      </c>
      <c r="J17" s="33"/>
    </row>
    <row r="18" spans="1:10">
      <c r="A18" s="26">
        <v>5</v>
      </c>
      <c r="B18" s="28" t="str">
        <f>IF(ISNA(VLOOKUP(Calculator!B23,Grass_Table,2,FALSE)),"",VLOOKUP(Calculator!B23,Grass_Table,2,FALSE))</f>
        <v>Carex lupulina</v>
      </c>
      <c r="C18" s="129" t="str">
        <f>IF(ISBLANK(Calculator!B23),"",Calculator!B23)</f>
        <v>Hop Sedge</v>
      </c>
      <c r="D18" s="678">
        <f>IF(C18="","",SUM(Calculator!E23:E24))</f>
        <v>8.2500000000000004E-2</v>
      </c>
      <c r="E18" s="678">
        <f t="shared" si="0"/>
        <v>0</v>
      </c>
      <c r="F18" s="682">
        <f>IF(AND(E18&lt;&gt;"",Calculator!H23&gt;0),E18*Calculator!H23,"")</f>
        <v>0</v>
      </c>
      <c r="G18" s="90">
        <f t="shared" si="1"/>
        <v>1</v>
      </c>
      <c r="J18" s="33"/>
    </row>
    <row r="19" spans="1:10">
      <c r="A19" s="26">
        <v>6</v>
      </c>
      <c r="B19" s="28" t="str">
        <f>IF(ISNA(VLOOKUP(Calculator!B25,Grass_Table,2,FALSE)),"",VLOOKUP(Calculator!B25,Grass_Table,2,FALSE))</f>
        <v>Carex vulpinoidea</v>
      </c>
      <c r="C19" s="129" t="str">
        <f>IF(ISBLANK(Calculator!B25),"",Calculator!B25)</f>
        <v>Fox Sedge</v>
      </c>
      <c r="D19" s="678">
        <f>IF(C19="","",SUM(Calculator!E25:E26))</f>
        <v>4.0837500000000006E-2</v>
      </c>
      <c r="E19" s="678">
        <f t="shared" si="0"/>
        <v>0</v>
      </c>
      <c r="F19" s="682">
        <f>IF(AND(E19&lt;&gt;"",Calculator!H25&gt;0),E19*Calculator!H25,"")</f>
        <v>0</v>
      </c>
      <c r="G19" s="90">
        <f t="shared" si="1"/>
        <v>1</v>
      </c>
      <c r="J19" s="33"/>
    </row>
    <row r="20" spans="1:10">
      <c r="A20" s="26">
        <v>7</v>
      </c>
      <c r="B20" s="28" t="str">
        <f>IF(ISNA(VLOOKUP(Calculator!B27,Grass_Table,2,FALSE)),"",VLOOKUP(Calculator!B27,Grass_Table,2,FALSE))</f>
        <v xml:space="preserve">Eleocharis obtusa </v>
      </c>
      <c r="C20" s="129" t="str">
        <f>IF(ISBLANK(Calculator!B27),"",Calculator!B27)</f>
        <v>Blunt Spikerush</v>
      </c>
      <c r="D20" s="678">
        <f>IF(C20="","",SUM(Calculator!E27:E28))</f>
        <v>4.0837500000000006E-2</v>
      </c>
      <c r="E20" s="678">
        <f t="shared" si="0"/>
        <v>0</v>
      </c>
      <c r="F20" s="682">
        <f>IF(AND(E20&lt;&gt;"",Calculator!H27&gt;0),E20*Calculator!H27,"")</f>
        <v>0</v>
      </c>
      <c r="G20" s="90">
        <f t="shared" si="1"/>
        <v>1</v>
      </c>
      <c r="J20" s="33"/>
    </row>
    <row r="21" spans="1:10">
      <c r="A21" s="26">
        <v>8</v>
      </c>
      <c r="B21" s="28" t="str">
        <f>IF(ISNA(VLOOKUP(Calculator!B29,Grass_Table,2,FALSE)),"",VLOOKUP(Calculator!B29,Grass_Table,2,FALSE))</f>
        <v>Elymus canadensis</v>
      </c>
      <c r="C21" s="129" t="str">
        <f>IF(ISBLANK(Calculator!B29),"",Calculator!B29)</f>
        <v>Canada Wildrye</v>
      </c>
      <c r="D21" s="678">
        <f>IF(C21="","",SUM(Calculator!E29:E30))</f>
        <v>0.89004807692307697</v>
      </c>
      <c r="E21" s="678">
        <f t="shared" si="0"/>
        <v>0</v>
      </c>
      <c r="F21" s="682">
        <f>IF(AND(E21&lt;&gt;"",Calculator!H29&gt;0),E21*Calculator!H29,"")</f>
        <v>0</v>
      </c>
      <c r="G21" s="90">
        <f t="shared" si="1"/>
        <v>1</v>
      </c>
      <c r="J21" s="33"/>
    </row>
    <row r="22" spans="1:10">
      <c r="A22" s="26">
        <v>9</v>
      </c>
      <c r="B22" s="28" t="str">
        <f>IF(ISNA(VLOOKUP(Calculator!B31,Grass_Table,2,FALSE)),"",VLOOKUP(Calculator!B31,Grass_Table,2,FALSE))</f>
        <v>Glyceria septentrionalis</v>
      </c>
      <c r="C22" s="129" t="str">
        <f>IF(ISBLANK(Calculator!B31),"",Calculator!B31)</f>
        <v>Floating Mannagrass</v>
      </c>
      <c r="D22" s="678">
        <f>IF(C22="","",SUM(Calculator!E31:E32))</f>
        <v>0.10518749999999999</v>
      </c>
      <c r="E22" s="678">
        <f t="shared" si="0"/>
        <v>0</v>
      </c>
      <c r="F22" s="682">
        <f>IF(AND(E22&lt;&gt;"",Calculator!H31&gt;0),E22*Calculator!H31,"")</f>
        <v>0</v>
      </c>
      <c r="G22" s="90">
        <f t="shared" si="1"/>
        <v>1</v>
      </c>
      <c r="J22" s="33"/>
    </row>
    <row r="23" spans="1:10">
      <c r="A23" s="26">
        <v>10</v>
      </c>
      <c r="B23" s="28" t="str">
        <f>IF(ISNA(VLOOKUP(Calculator!B33,Grass_Table,2,FALSE)),"",VLOOKUP(Calculator!B33,Grass_Table,2,FALSE))</f>
        <v>Carex interior</v>
      </c>
      <c r="C23" s="129" t="str">
        <f>IF(ISBLANK(Calculator!B33),"",Calculator!B33)</f>
        <v>Inland Sedge</v>
      </c>
      <c r="D23" s="678">
        <f>IF(C23="","",SUM(Calculator!E33:E34))</f>
        <v>0.11867307692307691</v>
      </c>
      <c r="E23" s="678">
        <f t="shared" si="0"/>
        <v>0</v>
      </c>
      <c r="F23" s="682">
        <f>IF(AND(E23&lt;&gt;"",Calculator!H33&gt;0),E23*Calculator!H33,"")</f>
        <v>0</v>
      </c>
      <c r="G23" s="90">
        <f t="shared" si="1"/>
        <v>1</v>
      </c>
      <c r="J23" s="33"/>
    </row>
    <row r="24" spans="1:10">
      <c r="A24" s="26">
        <v>11</v>
      </c>
      <c r="B24" s="28" t="str">
        <f>IF(ISNA(VLOOKUP(Calculator!B35,Grass_Table,2,FALSE)),"",VLOOKUP(Calculator!B35,Grass_Table,2,FALSE))</f>
        <v>Muhlenbergia mexicana</v>
      </c>
      <c r="C24" s="129" t="str">
        <f>IF(ISBLANK(Calculator!B35),"",Calculator!B35)</f>
        <v>Mexican Muhly</v>
      </c>
      <c r="D24" s="678">
        <f>IF(C24="","",SUM(Calculator!E35:E36))</f>
        <v>2.1780000000000001E-2</v>
      </c>
      <c r="E24" s="678">
        <f t="shared" si="0"/>
        <v>0</v>
      </c>
      <c r="F24" s="682">
        <f>IF(AND(E24&lt;&gt;"",Calculator!H35&gt;0),E24*Calculator!H35,"")</f>
        <v>0</v>
      </c>
      <c r="G24" s="90">
        <f t="shared" si="1"/>
        <v>1</v>
      </c>
      <c r="J24" s="33"/>
    </row>
    <row r="25" spans="1:10">
      <c r="A25" s="26">
        <v>12</v>
      </c>
      <c r="B25" s="28" t="str">
        <f>IF(ISNA(VLOOKUP(Calculator!B37,Grass_Table,2,FALSE)),"",VLOOKUP(Calculator!B37,Grass_Table,2,FALSE))</f>
        <v>Panicum virgatum</v>
      </c>
      <c r="C25" s="129" t="str">
        <f>IF(ISBLANK(Calculator!B37),"",Calculator!B37)</f>
        <v>Switchgrass</v>
      </c>
      <c r="D25" s="678">
        <f>IF(C25="","",SUM(Calculator!E37:E38))</f>
        <v>0.29169642857142858</v>
      </c>
      <c r="E25" s="678">
        <f t="shared" si="0"/>
        <v>0</v>
      </c>
      <c r="F25" s="682">
        <f>IF(AND(E25&lt;&gt;"",Calculator!H37&gt;0),E25*Calculator!H37,"")</f>
        <v>0</v>
      </c>
      <c r="G25" s="90">
        <f t="shared" si="1"/>
        <v>1</v>
      </c>
      <c r="J25" s="33"/>
    </row>
    <row r="26" spans="1:10">
      <c r="A26" s="26">
        <v>13</v>
      </c>
      <c r="B26" s="28" t="str">
        <f>IF(ISNA(VLOOKUP(Calculator!B39,Grass_Table,2,FALSE)),"",VLOOKUP(Calculator!B39,Grass_Table,2,FALSE))</f>
        <v>Pascopyrum smithii</v>
      </c>
      <c r="C26" s="129" t="str">
        <f>IF(ISBLANK(Calculator!B39),"",Calculator!B39)</f>
        <v>Western Wheatgrass</v>
      </c>
      <c r="D26" s="678">
        <f>IF(C26="","",SUM(Calculator!E39:E40))</f>
        <v>0.56813439065108506</v>
      </c>
      <c r="E26" s="678">
        <f t="shared" si="0"/>
        <v>0</v>
      </c>
      <c r="F26" s="682">
        <f>IF(AND(E26&lt;&gt;"",Calculator!H39&gt;0),E26*Calculator!H39,"")</f>
        <v>0</v>
      </c>
      <c r="G26" s="90">
        <f t="shared" si="1"/>
        <v>1</v>
      </c>
      <c r="J26" s="33"/>
    </row>
    <row r="27" spans="1:10">
      <c r="A27" s="26">
        <v>14</v>
      </c>
      <c r="B27" s="28" t="str">
        <f>IF(ISNA(VLOOKUP(Calculator!B41,Grass_Table,2,FALSE)),"",VLOOKUP(Calculator!B41,Grass_Table,2,FALSE))</f>
        <v>Poa palustris</v>
      </c>
      <c r="C27" s="129" t="str">
        <f>IF(ISBLANK(Calculator!B41),"",Calculator!B41)</f>
        <v>Fowl Bluegrass</v>
      </c>
      <c r="D27" s="678">
        <f>IF(C27="","",SUM(Calculator!E41:E42))</f>
        <v>3.1413461538461543E-2</v>
      </c>
      <c r="E27" s="678">
        <f t="shared" si="0"/>
        <v>0</v>
      </c>
      <c r="F27" s="682">
        <f>IF(AND(E27&lt;&gt;"",Calculator!H41&gt;0),E27*Calculator!H41,"")</f>
        <v>0</v>
      </c>
      <c r="G27" s="90">
        <f t="shared" si="1"/>
        <v>1</v>
      </c>
      <c r="J27" s="33"/>
    </row>
    <row r="28" spans="1:10">
      <c r="A28" s="26">
        <v>15</v>
      </c>
      <c r="B28" s="28" t="str">
        <f>IF(ISNA(VLOOKUP(Calculator!B43,Grass_Table,2,FALSE)),"",VLOOKUP(Calculator!B43,Grass_Table,2,FALSE))</f>
        <v>Spartina pectinata</v>
      </c>
      <c r="C28" s="129" t="str">
        <f>IF(ISBLANK(Calculator!B43),"",Calculator!B43)</f>
        <v>Prairie Cordgrass</v>
      </c>
      <c r="D28" s="678">
        <f>IF(C28="","",SUM(Calculator!E43:E44))</f>
        <v>0.20624999999999999</v>
      </c>
      <c r="E28" s="678">
        <f t="shared" si="0"/>
        <v>0</v>
      </c>
      <c r="F28" s="682">
        <f>IF(AND(E28&lt;&gt;"",Calculator!H43&gt;0),E28*Calculator!H43,"")</f>
        <v>0</v>
      </c>
      <c r="G28" s="90">
        <f t="shared" si="1"/>
        <v>1</v>
      </c>
      <c r="J28" s="33"/>
    </row>
    <row r="29" spans="1:10">
      <c r="A29" s="26">
        <v>16</v>
      </c>
      <c r="B29" s="28" t="str">
        <f>IF(ISNA(VLOOKUP(Calculator!B45,Grass_Table,2,FALSE)),"",VLOOKUP(Calculator!B45,Grass_Table,2,FALSE))</f>
        <v/>
      </c>
      <c r="C29" s="129" t="str">
        <f>IF(ISBLANK(Calculator!B45),"",Calculator!B45)</f>
        <v/>
      </c>
      <c r="D29" s="678" t="str">
        <f>IF(C29="","",SUM(Calculator!E45:E46))</f>
        <v/>
      </c>
      <c r="E29" s="678" t="str">
        <f t="shared" si="0"/>
        <v/>
      </c>
      <c r="F29" s="682" t="str">
        <f>IF(AND(E29&lt;&gt;"",Calculator!H45&gt;0),E29*Calculator!H45,"")</f>
        <v/>
      </c>
      <c r="G29" s="90" t="str">
        <f t="shared" si="1"/>
        <v/>
      </c>
      <c r="J29" s="33"/>
    </row>
    <row r="30" spans="1:10">
      <c r="A30" s="26">
        <v>17</v>
      </c>
      <c r="B30" s="28" t="str">
        <f>IF(ISNA(VLOOKUP(Calculator!B47,Grass_Table,2,FALSE)),"",VLOOKUP(Calculator!B47,Grass_Table,2,FALSE))</f>
        <v/>
      </c>
      <c r="C30" s="129" t="str">
        <f>IF(ISBLANK(Calculator!B47),"",Calculator!B47)</f>
        <v/>
      </c>
      <c r="D30" s="678" t="str">
        <f>IF(C30="","",SUM(Calculator!E47:E48))</f>
        <v/>
      </c>
      <c r="E30" s="678" t="str">
        <f t="shared" si="0"/>
        <v/>
      </c>
      <c r="F30" s="682" t="str">
        <f>IF(AND(E30&lt;&gt;"",Calculator!H47&gt;0),E30*Calculator!H47,"")</f>
        <v/>
      </c>
      <c r="G30" s="90" t="str">
        <f t="shared" si="1"/>
        <v/>
      </c>
      <c r="J30" s="33"/>
    </row>
    <row r="31" spans="1:10">
      <c r="A31" s="26">
        <v>18</v>
      </c>
      <c r="B31" s="28" t="str">
        <f>IF(ISNA(VLOOKUP(Calculator!B49,Grass_Table,2,FALSE)),"",VLOOKUP(Calculator!B49,Grass_Table,2,FALSE))</f>
        <v/>
      </c>
      <c r="C31" s="129" t="str">
        <f>IF(ISBLANK(Calculator!B49),"",Calculator!B49)</f>
        <v/>
      </c>
      <c r="D31" s="678" t="str">
        <f>IF(C31="","",SUM(Calculator!E49:E50))</f>
        <v/>
      </c>
      <c r="E31" s="678" t="str">
        <f t="shared" si="0"/>
        <v/>
      </c>
      <c r="F31" s="682" t="str">
        <f>IF(AND(E31&lt;&gt;"",Calculator!H49&gt;0),E31*Calculator!H49,"")</f>
        <v/>
      </c>
      <c r="G31" s="90" t="str">
        <f t="shared" si="1"/>
        <v/>
      </c>
      <c r="J31" s="33"/>
    </row>
    <row r="32" spans="1:10">
      <c r="A32" s="26">
        <v>19</v>
      </c>
      <c r="B32" s="28" t="str">
        <f>IF(ISNA(VLOOKUP(Calculator!B51,Grass_Table,2,FALSE)),"",VLOOKUP(Calculator!B51,Grass_Table,2,FALSE))</f>
        <v/>
      </c>
      <c r="C32" s="129" t="str">
        <f>IF(ISBLANK(Calculator!B51),"",Calculator!B51)</f>
        <v/>
      </c>
      <c r="D32" s="678" t="str">
        <f>IF(C32="","",SUM(Calculator!E51:E52))</f>
        <v/>
      </c>
      <c r="E32" s="678" t="str">
        <f t="shared" si="0"/>
        <v/>
      </c>
      <c r="F32" s="682" t="str">
        <f>IF(AND(E32&lt;&gt;"",Calculator!H51&gt;0),E32*Calculator!H51,"")</f>
        <v/>
      </c>
      <c r="G32" s="90" t="str">
        <f t="shared" si="1"/>
        <v/>
      </c>
      <c r="J32" s="33"/>
    </row>
    <row r="33" spans="1:10">
      <c r="A33" s="26">
        <v>20</v>
      </c>
      <c r="B33" s="28" t="str">
        <f>IF(ISNA(VLOOKUP(Calculator!B53,Grass_Table,2,FALSE)),"",VLOOKUP(Calculator!B53,Grass_Table,2,FALSE))</f>
        <v/>
      </c>
      <c r="C33" s="129" t="str">
        <f>IF(ISBLANK(Calculator!B53),"",Calculator!B53)</f>
        <v/>
      </c>
      <c r="D33" s="678" t="str">
        <f>IF(C33="","",SUM(Calculator!E53:E54))</f>
        <v/>
      </c>
      <c r="E33" s="678" t="str">
        <f t="shared" si="0"/>
        <v/>
      </c>
      <c r="F33" s="682" t="str">
        <f>IF(AND(E33&lt;&gt;"",Calculator!H53&gt;0),E33*Calculator!H53,"")</f>
        <v/>
      </c>
      <c r="G33" s="90" t="str">
        <f t="shared" si="1"/>
        <v/>
      </c>
      <c r="J33" s="33"/>
    </row>
    <row r="34" spans="1:10" hidden="1">
      <c r="A34" s="88"/>
      <c r="B34" s="88"/>
      <c r="C34" s="89" t="s">
        <v>903</v>
      </c>
      <c r="D34" s="679">
        <f>SUM(D14:D33)</f>
        <v>2.982409457716372</v>
      </c>
      <c r="E34" s="679">
        <f>SUM(E14:E33)</f>
        <v>0</v>
      </c>
      <c r="F34" s="685">
        <f>SUM(F14:F33)</f>
        <v>0</v>
      </c>
      <c r="G34" s="25"/>
      <c r="J34" s="33"/>
    </row>
    <row r="35" spans="1:10">
      <c r="A35" s="28"/>
      <c r="B35" s="28"/>
      <c r="C35" s="28"/>
      <c r="D35" s="680"/>
      <c r="E35" s="17"/>
      <c r="F35" s="686"/>
      <c r="J35" s="33"/>
    </row>
    <row r="36" spans="1:10" ht="26.25" customHeight="1" thickBot="1">
      <c r="A36" s="72" t="s">
        <v>898</v>
      </c>
      <c r="B36" s="64" t="s">
        <v>885</v>
      </c>
      <c r="C36" s="64" t="s">
        <v>857</v>
      </c>
      <c r="D36" s="453" t="s">
        <v>11131</v>
      </c>
      <c r="E36" s="72" t="s">
        <v>11299</v>
      </c>
      <c r="F36" s="683" t="s">
        <v>941</v>
      </c>
      <c r="J36" s="33"/>
    </row>
    <row r="37" spans="1:10">
      <c r="A37" s="26">
        <v>1</v>
      </c>
      <c r="B37" s="28" t="str">
        <f>IF(ISNA(VLOOKUP(Calculator!B63,Forb_Table,2,FALSE)),"",VLOOKUP(Calculator!B63,Forb_Table,2,FALSE))</f>
        <v>Agalinis tenuifolia</v>
      </c>
      <c r="C37" s="129" t="str">
        <f>IF(ISBLANK(Calculator!B63),"",Calculator!B63)</f>
        <v>Slenderleaf False Foxglove</v>
      </c>
      <c r="D37" s="678">
        <f>IF(C37="","",SUM(Calculator!E63:E64))</f>
        <v>4.0837500000000006E-3</v>
      </c>
      <c r="E37" s="678">
        <f t="shared" ref="E37:E76" si="2">IF(D37&lt;&gt;"",D37*$D$9,"")</f>
        <v>0</v>
      </c>
      <c r="F37" s="682">
        <f>IF(AND(E37&lt;&gt;"",Calculator!H63&gt;0),E37*Calculator!H63,"")</f>
        <v>0</v>
      </c>
      <c r="G37" s="90">
        <f>IF(LEN(B37)&gt;1,VALUE("1"),"")</f>
        <v>1</v>
      </c>
      <c r="J37" s="33"/>
    </row>
    <row r="38" spans="1:10">
      <c r="A38" s="26">
        <v>2</v>
      </c>
      <c r="B38" s="28" t="str">
        <f>IF(ISNA(VLOOKUP(Calculator!B65,Forb_Table,2,FALSE)),"",VLOOKUP(Calculator!B65,Forb_Table,2,FALSE))</f>
        <v>Asclepias incarnata</v>
      </c>
      <c r="C38" s="129" t="str">
        <f>IF(ISBLANK(Calculator!B65),"",Calculator!B65)</f>
        <v>Swamp Milkweed</v>
      </c>
      <c r="D38" s="678">
        <f>IF(C38="","",SUM(Calculator!E65:E66))</f>
        <v>0.14179687499999999</v>
      </c>
      <c r="E38" s="678">
        <f t="shared" si="2"/>
        <v>0</v>
      </c>
      <c r="F38" s="682">
        <f>IF(AND(E38&lt;&gt;"",Calculator!H65&gt;0),E38*Calculator!H65,"")</f>
        <v>0</v>
      </c>
      <c r="G38" s="90">
        <f t="shared" ref="G38:G76" si="3">IF(LEN(B38)&gt;1,VALUE("1"),"")</f>
        <v>1</v>
      </c>
      <c r="J38" s="33"/>
    </row>
    <row r="39" spans="1:10">
      <c r="A39" s="26">
        <v>3</v>
      </c>
      <c r="B39" s="28" t="str">
        <f>IF(ISNA(VLOOKUP(Calculator!B67,Forb_Table,2,FALSE)),"",VLOOKUP(Calculator!B67,Forb_Table,2,FALSE))</f>
        <v>Bidens cernua</v>
      </c>
      <c r="C39" s="129" t="str">
        <f>IF(ISBLANK(Calculator!B67),"",Calculator!B67)</f>
        <v>Nodding Beggartick</v>
      </c>
      <c r="D39" s="678">
        <f>IF(C39="","",SUM(Calculator!E67:E68))</f>
        <v>0.10371428571428572</v>
      </c>
      <c r="E39" s="678">
        <f t="shared" si="2"/>
        <v>0</v>
      </c>
      <c r="F39" s="682">
        <f>IF(AND(E39&lt;&gt;"",Calculator!H67&gt;0),E39*Calculator!H67,"")</f>
        <v>0</v>
      </c>
      <c r="G39" s="90">
        <f t="shared" si="3"/>
        <v>1</v>
      </c>
      <c r="J39" s="33"/>
    </row>
    <row r="40" spans="1:10">
      <c r="A40" s="26">
        <v>4</v>
      </c>
      <c r="B40" s="28" t="str">
        <f>IF(ISNA(VLOOKUP(Calculator!B69,Forb_Table,2,FALSE)),"",VLOOKUP(Calculator!B69,Forb_Table,2,FALSE))</f>
        <v>Chamaecrista fasciculata</v>
      </c>
      <c r="C40" s="129" t="str">
        <f>IF(ISBLANK(Calculator!B69),"",Calculator!B69)</f>
        <v>Partridge Pea</v>
      </c>
      <c r="D40" s="678">
        <f>IF(C40="","",SUM(Calculator!E69:E70))</f>
        <v>0.80666666666666664</v>
      </c>
      <c r="E40" s="678">
        <f t="shared" si="2"/>
        <v>0</v>
      </c>
      <c r="F40" s="682">
        <f>IF(AND(E40&lt;&gt;"",Calculator!H69&gt;0),E40*Calculator!H69,"")</f>
        <v>0</v>
      </c>
      <c r="G40" s="90">
        <f t="shared" si="3"/>
        <v>1</v>
      </c>
      <c r="J40" s="33"/>
    </row>
    <row r="41" spans="1:10">
      <c r="A41" s="26">
        <v>5</v>
      </c>
      <c r="B41" s="28" t="str">
        <f>IF(ISNA(VLOOKUP(Calculator!B71,Forb_Table,2,FALSE)),"",VLOOKUP(Calculator!B71,Forb_Table,2,FALSE))</f>
        <v xml:space="preserve">Chelone glabra  </v>
      </c>
      <c r="C41" s="129" t="str">
        <f>IF(ISBLANK(Calculator!B71),"",Calculator!B71)</f>
        <v>White Turtlehead</v>
      </c>
      <c r="D41" s="678">
        <f>IF(C41="","",SUM(Calculator!E71:E72))</f>
        <v>2.9592391304347827E-2</v>
      </c>
      <c r="E41" s="678">
        <f t="shared" si="2"/>
        <v>0</v>
      </c>
      <c r="F41" s="682">
        <f>IF(AND(E41&lt;&gt;"",Calculator!H71&gt;0),E41*Calculator!H71,"")</f>
        <v>0</v>
      </c>
      <c r="G41" s="90">
        <f t="shared" si="3"/>
        <v>1</v>
      </c>
      <c r="J41" s="33"/>
    </row>
    <row r="42" spans="1:10">
      <c r="A42" s="26">
        <v>6</v>
      </c>
      <c r="B42" s="28" t="str">
        <f>IF(ISNA(VLOOKUP(Calculator!B73,Forb_Table,2,FALSE)),"",VLOOKUP(Calculator!B73,Forb_Table,2,FALSE))</f>
        <v xml:space="preserve">Echinacea pallida  </v>
      </c>
      <c r="C42" s="129" t="str">
        <f>IF(ISBLANK(Calculator!B73),"",Calculator!B73)</f>
        <v>Pale Coneflower</v>
      </c>
      <c r="D42" s="678">
        <f>IF(C42="","",SUM(Calculator!E73:E74))</f>
        <v>0.26177884615384617</v>
      </c>
      <c r="E42" s="678">
        <f t="shared" si="2"/>
        <v>0</v>
      </c>
      <c r="F42" s="682">
        <f>IF(AND(E42&lt;&gt;"",Calculator!H73&gt;0),E42*Calculator!H73,"")</f>
        <v>0</v>
      </c>
      <c r="G42" s="90">
        <f t="shared" si="3"/>
        <v>1</v>
      </c>
      <c r="J42" s="33"/>
    </row>
    <row r="43" spans="1:10">
      <c r="A43" s="26">
        <v>7</v>
      </c>
      <c r="B43" s="28" t="str">
        <f>IF(ISNA(VLOOKUP(Calculator!B75,Forb_Table,2,FALSE)),"",VLOOKUP(Calculator!B75,Forb_Table,2,FALSE))</f>
        <v xml:space="preserve">Eryngium yuccifolium  </v>
      </c>
      <c r="C43" s="129" t="str">
        <f>IF(ISBLANK(Calculator!B75),"",Calculator!B75)</f>
        <v>Rattlesnake Master</v>
      </c>
      <c r="D43" s="678">
        <f>IF(C43="","",SUM(Calculator!E75:E76))</f>
        <v>0.1089</v>
      </c>
      <c r="E43" s="678">
        <f t="shared" si="2"/>
        <v>0</v>
      </c>
      <c r="F43" s="682">
        <f>IF(AND(E43&lt;&gt;"",Calculator!H75&gt;0),E43*Calculator!H75,"")</f>
        <v>0</v>
      </c>
      <c r="G43" s="90">
        <f t="shared" si="3"/>
        <v>1</v>
      </c>
      <c r="J43" s="33"/>
    </row>
    <row r="44" spans="1:10">
      <c r="A44" s="26">
        <v>8</v>
      </c>
      <c r="B44" s="28" t="str">
        <f>IF(ISNA(VLOOKUP(Calculator!B77,Forb_Table,2,FALSE)),"",VLOOKUP(Calculator!B77,Forb_Table,2,FALSE))</f>
        <v xml:space="preserve">Eupatoriadelphus maculatus </v>
      </c>
      <c r="C44" s="129" t="str">
        <f>IF(ISBLANK(Calculator!B77),"",Calculator!B77)</f>
        <v>Spotted Trumpetweed</v>
      </c>
      <c r="D44" s="678">
        <f>IF(C44="","",SUM(Calculator!E77:E78))</f>
        <v>2.8657894736842104E-2</v>
      </c>
      <c r="E44" s="678">
        <f t="shared" si="2"/>
        <v>0</v>
      </c>
      <c r="F44" s="682">
        <f>IF(AND(E44&lt;&gt;"",Calculator!H77&gt;0),E44*Calculator!H77,"")</f>
        <v>0</v>
      </c>
      <c r="G44" s="90">
        <f t="shared" si="3"/>
        <v>1</v>
      </c>
      <c r="J44" s="33"/>
    </row>
    <row r="45" spans="1:10">
      <c r="A45" s="26">
        <v>9</v>
      </c>
      <c r="B45" s="28" t="str">
        <f>IF(ISNA(VLOOKUP(Calculator!B79,Forb_Table,2,FALSE)),"",VLOOKUP(Calculator!B79,Forb_Table,2,FALSE))</f>
        <v xml:space="preserve">Galium boreale  </v>
      </c>
      <c r="C45" s="129" t="str">
        <f>IF(ISBLANK(Calculator!B79),"",Calculator!B79)</f>
        <v>Northern Bedstraw</v>
      </c>
      <c r="D45" s="678">
        <f>IF(C45="","",SUM(Calculator!E79:E80))</f>
        <v>2.7224999999999999E-2</v>
      </c>
      <c r="E45" s="678">
        <f t="shared" si="2"/>
        <v>0</v>
      </c>
      <c r="F45" s="682">
        <f>IF(AND(E45&lt;&gt;"",Calculator!H79&gt;0),E45*Calculator!H79,"")</f>
        <v>0</v>
      </c>
      <c r="G45" s="90">
        <f t="shared" si="3"/>
        <v>1</v>
      </c>
      <c r="J45" s="33"/>
    </row>
    <row r="46" spans="1:10">
      <c r="A46" s="26">
        <v>10</v>
      </c>
      <c r="B46" s="28" t="str">
        <f>IF(ISNA(VLOOKUP(Calculator!B81,Forb_Table,2,FALSE)),"",VLOOKUP(Calculator!B81,Forb_Table,2,FALSE))</f>
        <v xml:space="preserve">Helenium autumnale  </v>
      </c>
      <c r="C46" s="129" t="str">
        <f>IF(ISBLANK(Calculator!B81),"",Calculator!B81)</f>
        <v>Sneezeweed</v>
      </c>
      <c r="D46" s="678">
        <f>IF(C46="","",SUM(Calculator!E81:E82))</f>
        <v>2.0942307692307694E-2</v>
      </c>
      <c r="E46" s="678">
        <f t="shared" si="2"/>
        <v>0</v>
      </c>
      <c r="F46" s="682">
        <f>IF(AND(E46&lt;&gt;"",Calculator!H81&gt;0),E46*Calculator!H81,"")</f>
        <v>0</v>
      </c>
      <c r="G46" s="90">
        <f t="shared" si="3"/>
        <v>1</v>
      </c>
      <c r="J46" s="33"/>
    </row>
    <row r="47" spans="1:10">
      <c r="A47" s="26">
        <v>11</v>
      </c>
      <c r="B47" s="28" t="str">
        <f>IF(ISNA(VLOOKUP(Calculator!B83,Forb_Table,2,FALSE)),"",VLOOKUP(Calculator!B83,Forb_Table,2,FALSE))</f>
        <v xml:space="preserve">Helianthus grosseserratus  </v>
      </c>
      <c r="C47" s="129" t="str">
        <f>IF(ISBLANK(Calculator!B83),"",Calculator!B83)</f>
        <v>Saw-tooth Sunflower</v>
      </c>
      <c r="D47" s="678">
        <f>IF(C47="","",SUM(Calculator!E83:E84))</f>
        <v>3.6300000000000006E-2</v>
      </c>
      <c r="E47" s="678">
        <f t="shared" si="2"/>
        <v>0</v>
      </c>
      <c r="F47" s="682">
        <f>IF(AND(E47&lt;&gt;"",Calculator!H83&gt;0),E47*Calculator!H83,"")</f>
        <v>0</v>
      </c>
      <c r="G47" s="90">
        <f t="shared" si="3"/>
        <v>1</v>
      </c>
      <c r="J47" s="33"/>
    </row>
    <row r="48" spans="1:10">
      <c r="A48" s="26">
        <v>12</v>
      </c>
      <c r="B48" s="28" t="str">
        <f>IF(ISNA(VLOOKUP(Calculator!B85,Forb_Table,2,FALSE)),"",VLOOKUP(Calculator!B85,Forb_Table,2,FALSE))</f>
        <v xml:space="preserve">Hypericum ascyron  </v>
      </c>
      <c r="C48" s="129" t="str">
        <f>IF(ISBLANK(Calculator!B85),"",Calculator!B85)</f>
        <v>Giant St. Johnswort</v>
      </c>
      <c r="D48" s="678">
        <f>IF(C48="","",SUM(Calculator!E85:E86))</f>
        <v>1.4328947368421052E-2</v>
      </c>
      <c r="E48" s="678">
        <f t="shared" si="2"/>
        <v>0</v>
      </c>
      <c r="F48" s="682">
        <f>IF(AND(E48&lt;&gt;"",Calculator!H85&gt;0),E48*Calculator!H85,"")</f>
        <v>0</v>
      </c>
      <c r="G48" s="90">
        <f t="shared" si="3"/>
        <v>1</v>
      </c>
      <c r="J48" s="33"/>
    </row>
    <row r="49" spans="1:10">
      <c r="A49" s="26">
        <v>13</v>
      </c>
      <c r="B49" s="28" t="str">
        <f>IF(ISNA(VLOOKUP(Calculator!B87,Forb_Table,2,FALSE)),"",VLOOKUP(Calculator!B87,Forb_Table,2,FALSE))</f>
        <v xml:space="preserve">Hypoxis hirsuta  </v>
      </c>
      <c r="C49" s="129" t="str">
        <f>IF(ISBLANK(Calculator!B87),"",Calculator!B87)</f>
        <v>Common Goldstar</v>
      </c>
      <c r="D49" s="678">
        <f>IF(C49="","",SUM(Calculator!E87:E88))</f>
        <v>3.4031250000000003E-3</v>
      </c>
      <c r="E49" s="678">
        <f t="shared" si="2"/>
        <v>0</v>
      </c>
      <c r="F49" s="682">
        <f>IF(AND(E49&lt;&gt;"",Calculator!H87&gt;0),E49*Calculator!H87,"")</f>
        <v>0</v>
      </c>
      <c r="G49" s="90">
        <f t="shared" si="3"/>
        <v>1</v>
      </c>
      <c r="J49" s="33"/>
    </row>
    <row r="50" spans="1:10">
      <c r="A50" s="26">
        <v>14</v>
      </c>
      <c r="B50" s="28" t="str">
        <f>IF(ISNA(VLOOKUP(Calculator!B89,Forb_Table,2,FALSE)),"",VLOOKUP(Calculator!B89,Forb_Table,2,FALSE))</f>
        <v xml:space="preserve">Liatris pycnostachya  </v>
      </c>
      <c r="C50" s="129" t="str">
        <f>IF(ISBLANK(Calculator!B89),"",Calculator!B89)</f>
        <v>Prairie Blazing Star</v>
      </c>
      <c r="D50" s="678">
        <f>IF(C50="","",SUM(Calculator!E89:E90))</f>
        <v>7.4249999999999997E-2</v>
      </c>
      <c r="E50" s="678">
        <f t="shared" si="2"/>
        <v>0</v>
      </c>
      <c r="F50" s="682">
        <f>IF(AND(E50&lt;&gt;"",Calculator!H89&gt;0),E50*Calculator!H89,"")</f>
        <v>0</v>
      </c>
      <c r="G50" s="90">
        <f t="shared" si="3"/>
        <v>1</v>
      </c>
      <c r="J50" s="33"/>
    </row>
    <row r="51" spans="1:10">
      <c r="A51" s="26">
        <v>15</v>
      </c>
      <c r="B51" s="28" t="str">
        <f>IF(ISNA(VLOOKUP(Calculator!B91,Forb_Table,2,FALSE)),"",VLOOKUP(Calculator!B91,Forb_Table,2,FALSE))</f>
        <v xml:space="preserve">Lobelia cardinalis  </v>
      </c>
      <c r="C51" s="129" t="str">
        <f>IF(ISBLANK(Calculator!B91),"",Calculator!B91)</f>
        <v>Cardinal Flower</v>
      </c>
      <c r="D51" s="678">
        <f>IF(C51="","",SUM(Calculator!E91:E92))</f>
        <v>6.8062500000000007E-3</v>
      </c>
      <c r="E51" s="678">
        <f t="shared" si="2"/>
        <v>0</v>
      </c>
      <c r="F51" s="682">
        <f>IF(AND(E51&lt;&gt;"",Calculator!H91&gt;0),E51*Calculator!H91,"")</f>
        <v>0</v>
      </c>
      <c r="G51" s="90">
        <f t="shared" si="3"/>
        <v>1</v>
      </c>
      <c r="J51" s="33"/>
    </row>
    <row r="52" spans="1:10">
      <c r="A52" s="26">
        <v>16</v>
      </c>
      <c r="B52" s="28" t="str">
        <f>IF(ISNA(VLOOKUP(Calculator!B93,Forb_Table,2,FALSE)),"",VLOOKUP(Calculator!B93,Forb_Table,2,FALSE))</f>
        <v xml:space="preserve">Lysimachia quadriflora  </v>
      </c>
      <c r="C52" s="129" t="str">
        <f>IF(ISBLANK(Calculator!B93),"",Calculator!B93)</f>
        <v>Narrow-leaved Loosestrife</v>
      </c>
      <c r="D52" s="678">
        <f>IF(C52="","",SUM(Calculator!E93:E94))</f>
        <v>1.3612500000000001E-2</v>
      </c>
      <c r="E52" s="678">
        <f t="shared" si="2"/>
        <v>0</v>
      </c>
      <c r="F52" s="682">
        <f>IF(AND(E52&lt;&gt;"",Calculator!H93&gt;0),E52*Calculator!H93,"")</f>
        <v>0</v>
      </c>
      <c r="G52" s="90">
        <f t="shared" si="3"/>
        <v>1</v>
      </c>
      <c r="J52" s="33"/>
    </row>
    <row r="53" spans="1:10">
      <c r="A53" s="26">
        <v>17</v>
      </c>
      <c r="B53" s="28" t="str">
        <f>IF(ISNA(VLOOKUP(Calculator!B95,Forb_Table,2,FALSE)),"",VLOOKUP(Calculator!B95,Forb_Table,2,FALSE))</f>
        <v xml:space="preserve">Oenothera pilosella </v>
      </c>
      <c r="C53" s="129" t="str">
        <f>IF(ISBLANK(Calculator!B95),"",Calculator!B95)</f>
        <v>Meadow Evening Primrose</v>
      </c>
      <c r="D53" s="678">
        <f>IF(C53="","",SUM(Calculator!E95:E96))</f>
        <v>1.0234962406015038E-3</v>
      </c>
      <c r="E53" s="678">
        <f t="shared" si="2"/>
        <v>0</v>
      </c>
      <c r="F53" s="682">
        <f>IF(AND(E53&lt;&gt;"",Calculator!H95&gt;0),E53*Calculator!H95,"")</f>
        <v>0</v>
      </c>
      <c r="G53" s="90">
        <f t="shared" si="3"/>
        <v>1</v>
      </c>
      <c r="J53" s="33"/>
    </row>
    <row r="54" spans="1:10">
      <c r="A54" s="26">
        <v>18</v>
      </c>
      <c r="B54" s="28" t="str">
        <f>IF(ISNA(VLOOKUP(Calculator!B97,Forb_Table,2,FALSE)),"",VLOOKUP(Calculator!B97,Forb_Table,2,FALSE))</f>
        <v xml:space="preserve">Oligoneuron riddellii </v>
      </c>
      <c r="C54" s="129" t="str">
        <f>IF(ISBLANK(Calculator!B97),"",Calculator!B97)</f>
        <v>Riddell's Goldenrod</v>
      </c>
      <c r="D54" s="678">
        <f>IF(C54="","",SUM(Calculator!E97:E98))</f>
        <v>5.2693548387096778E-2</v>
      </c>
      <c r="E54" s="678">
        <f t="shared" si="2"/>
        <v>0</v>
      </c>
      <c r="F54" s="682">
        <f>IF(AND(E54&lt;&gt;"",Calculator!H97&gt;0),E54*Calculator!H97,"")</f>
        <v>0</v>
      </c>
      <c r="G54" s="90">
        <f t="shared" si="3"/>
        <v>1</v>
      </c>
      <c r="J54" s="33"/>
    </row>
    <row r="55" spans="1:10">
      <c r="A55" s="26">
        <v>19</v>
      </c>
      <c r="B55" s="28" t="str">
        <f>IF(ISNA(VLOOKUP(Calculator!B99,Forb_Table,2,FALSE)),"",VLOOKUP(Calculator!B99,Forb_Table,2,FALSE))</f>
        <v xml:space="preserve">Pedicularis lanceolata  </v>
      </c>
      <c r="C55" s="129" t="str">
        <f>IF(ISBLANK(Calculator!B99),"",Calculator!B99)</f>
        <v>Swamp Lousewort</v>
      </c>
      <c r="D55" s="678">
        <f>IF(C55="","",SUM(Calculator!E99:E100))</f>
        <v>0.111375</v>
      </c>
      <c r="E55" s="678">
        <f t="shared" si="2"/>
        <v>0</v>
      </c>
      <c r="F55" s="682">
        <f>IF(AND(E55&lt;&gt;"",Calculator!H99&gt;0),E55*Calculator!H99,"")</f>
        <v>0</v>
      </c>
      <c r="G55" s="90">
        <f t="shared" si="3"/>
        <v>1</v>
      </c>
      <c r="J55" s="33"/>
    </row>
    <row r="56" spans="1:10">
      <c r="A56" s="26">
        <v>20</v>
      </c>
      <c r="B56" s="28" t="str">
        <f>IF(ISNA(VLOOKUP(Calculator!B101,Forb_Table,2,FALSE)),"",VLOOKUP(Calculator!B101,Forb_Table,2,FALSE))</f>
        <v xml:space="preserve">Penstemon digitalis </v>
      </c>
      <c r="C56" s="129" t="str">
        <f>IF(ISBLANK(Calculator!B101),"",Calculator!B101)</f>
        <v>Foxglove Penstemon</v>
      </c>
      <c r="D56" s="678">
        <f>IF(C56="","",SUM(Calculator!E101:E102))</f>
        <v>1.6753846153846154E-2</v>
      </c>
      <c r="E56" s="678">
        <f t="shared" si="2"/>
        <v>0</v>
      </c>
      <c r="F56" s="682">
        <f>IF(AND(E56&lt;&gt;"",Calculator!H101&gt;0),E56*Calculator!H101,"")</f>
        <v>0</v>
      </c>
      <c r="G56" s="90">
        <f t="shared" si="3"/>
        <v>1</v>
      </c>
      <c r="J56" s="33"/>
    </row>
    <row r="57" spans="1:10">
      <c r="A57" s="26">
        <v>21</v>
      </c>
      <c r="B57" s="28" t="str">
        <f>IF(ISNA(VLOOKUP(Calculator!B103,Forb_Table,2,FALSE)),"",VLOOKUP(Calculator!B103,Forb_Table,2,FALSE))</f>
        <v xml:space="preserve">Phlox maculata </v>
      </c>
      <c r="C57" s="129" t="str">
        <f>IF(ISBLANK(Calculator!B103),"",Calculator!B103)</f>
        <v>Wild Sweet William</v>
      </c>
      <c r="D57" s="678">
        <f>IF(C57="","",SUM(Calculator!E103:E104))</f>
        <v>2.4750000000000001E-2</v>
      </c>
      <c r="E57" s="678">
        <f t="shared" si="2"/>
        <v>0</v>
      </c>
      <c r="F57" s="682">
        <f>IF(AND(E57&lt;&gt;"",Calculator!H103&gt;0),E57*Calculator!H103,"")</f>
        <v>0</v>
      </c>
      <c r="G57" s="90">
        <f t="shared" si="3"/>
        <v>1</v>
      </c>
      <c r="J57" s="33"/>
    </row>
    <row r="58" spans="1:10">
      <c r="A58" s="26">
        <v>22</v>
      </c>
      <c r="B58" s="28" t="str">
        <f>IF(ISNA(VLOOKUP(Calculator!B105,Forb_Table,2,FALSE)),"",VLOOKUP(Calculator!B105,Forb_Table,2,FALSE))</f>
        <v xml:space="preserve">Pycnanthemum virginianum </v>
      </c>
      <c r="C58" s="129" t="str">
        <f>IF(ISBLANK(Calculator!B105),"",Calculator!B105)</f>
        <v>Common Mountain Mint</v>
      </c>
      <c r="D58" s="678">
        <f>IF(C58="","",SUM(Calculator!E105:E106))</f>
        <v>1.2375000000000001E-2</v>
      </c>
      <c r="E58" s="678">
        <f t="shared" si="2"/>
        <v>0</v>
      </c>
      <c r="F58" s="682">
        <f>IF(AND(E58&lt;&gt;"",Calculator!H105&gt;0),E58*Calculator!H105,"")</f>
        <v>0</v>
      </c>
      <c r="G58" s="90">
        <f t="shared" si="3"/>
        <v>1</v>
      </c>
      <c r="J58" s="33"/>
    </row>
    <row r="59" spans="1:10">
      <c r="A59" s="26">
        <v>23</v>
      </c>
      <c r="B59" s="28" t="str">
        <f>IF(ISNA(VLOOKUP(Calculator!B107,Forb_Table,2,FALSE)),"",VLOOKUP(Calculator!B107,Forb_Table,2,FALSE))</f>
        <v xml:space="preserve">Ratibida pinnata  </v>
      </c>
      <c r="C59" s="129" t="str">
        <f>IF(ISBLANK(Calculator!B107),"",Calculator!B107)</f>
        <v>Gray-headed Coneflower</v>
      </c>
      <c r="D59" s="678">
        <f>IF(C59="","",SUM(Calculator!E107:E108))</f>
        <v>5.8339285714285719E-2</v>
      </c>
      <c r="E59" s="678">
        <f t="shared" si="2"/>
        <v>0</v>
      </c>
      <c r="F59" s="682">
        <f>IF(AND(E59&lt;&gt;"",Calculator!H107&gt;0),E59*Calculator!H107,"")</f>
        <v>0</v>
      </c>
      <c r="G59" s="90">
        <f t="shared" si="3"/>
        <v>1</v>
      </c>
      <c r="J59" s="33"/>
    </row>
    <row r="60" spans="1:10">
      <c r="A60" s="26">
        <v>24</v>
      </c>
      <c r="B60" s="28" t="str">
        <f>IF(ISNA(VLOOKUP(Calculator!B109,Forb_Table,2,FALSE)),"",VLOOKUP(Calculator!B109,Forb_Table,2,FALSE))</f>
        <v xml:space="preserve">Senecio congestus  </v>
      </c>
      <c r="C60" s="129" t="str">
        <f>IF(ISBLANK(Calculator!B109),"",Calculator!B109)</f>
        <v>Marsh Fleabane</v>
      </c>
      <c r="D60" s="678">
        <f>IF(C60="","",SUM(Calculator!E109:E110))</f>
        <v>0.10890000000000001</v>
      </c>
      <c r="E60" s="678">
        <f t="shared" si="2"/>
        <v>0</v>
      </c>
      <c r="F60" s="682">
        <f>IF(AND(E60&lt;&gt;"",Calculator!H109&gt;0),E60*Calculator!H109,"")</f>
        <v>0</v>
      </c>
      <c r="G60" s="90">
        <f t="shared" si="3"/>
        <v>1</v>
      </c>
      <c r="J60" s="33"/>
    </row>
    <row r="61" spans="1:10">
      <c r="A61" s="26">
        <v>25</v>
      </c>
      <c r="B61" s="28" t="str">
        <f>IF(ISNA(VLOOKUP(Calculator!B111,Forb_Table,2,FALSE)),"",VLOOKUP(Calculator!B111,Forb_Table,2,FALSE))</f>
        <v>Symphyotrichum novae-angliae</v>
      </c>
      <c r="C61" s="129" t="str">
        <f>IF(ISBLANK(Calculator!B111),"",Calculator!B111)</f>
        <v>New England Aster</v>
      </c>
      <c r="D61" s="678">
        <f>IF(C61="","",SUM(Calculator!E111:E112))</f>
        <v>3.3000000000000002E-2</v>
      </c>
      <c r="E61" s="678">
        <f t="shared" si="2"/>
        <v>0</v>
      </c>
      <c r="F61" s="684">
        <f>IF(AND(E61&lt;&gt;"",Calculator!H111&gt;0),E61*Calculator!H111,"")</f>
        <v>0</v>
      </c>
      <c r="G61" s="90">
        <f t="shared" si="3"/>
        <v>1</v>
      </c>
      <c r="J61" s="33"/>
    </row>
    <row r="62" spans="1:10">
      <c r="A62" s="26">
        <v>26</v>
      </c>
      <c r="B62" s="28" t="str">
        <f>IF(ISNA(VLOOKUP(Calculator!B113,Forb_Table,2,FALSE)),"",VLOOKUP(Calculator!B113,Forb_Table,2,FALSE))</f>
        <v xml:space="preserve">Thalictrum dasycarpum  </v>
      </c>
      <c r="C62" s="129" t="str">
        <f>IF(ISBLANK(Calculator!B113),"",Calculator!B113)</f>
        <v>Purple Meadow-rue</v>
      </c>
      <c r="D62" s="678">
        <f>IF(C62="","",SUM(Calculator!E113:E114))</f>
        <v>7.4249999999999997E-2</v>
      </c>
      <c r="E62" s="678">
        <f t="shared" si="2"/>
        <v>0</v>
      </c>
      <c r="F62" s="682">
        <f>IF(AND(E62&lt;&gt;"",Calculator!H113&gt;0),E62*Calculator!H113,"")</f>
        <v>0</v>
      </c>
      <c r="G62" s="90">
        <f t="shared" si="3"/>
        <v>1</v>
      </c>
      <c r="J62" s="33"/>
    </row>
    <row r="63" spans="1:10">
      <c r="A63" s="26">
        <v>27</v>
      </c>
      <c r="B63" s="28" t="str">
        <f>IF(ISNA(VLOOKUP(Calculator!B115,Forb_Table,2,FALSE)),"",VLOOKUP(Calculator!B115,Forb_Table,2,FALSE))</f>
        <v xml:space="preserve">Tradescantia ohiensis  </v>
      </c>
      <c r="C63" s="129" t="str">
        <f>IF(ISBLANK(Calculator!B115),"",Calculator!B115)</f>
        <v>Common Spiderwort</v>
      </c>
      <c r="D63" s="678">
        <f>IF(C63="","",SUM(Calculator!E115:E116))</f>
        <v>3.4031250000000006E-2</v>
      </c>
      <c r="E63" s="678">
        <f t="shared" si="2"/>
        <v>0</v>
      </c>
      <c r="F63" s="682">
        <f>IF(AND(E63&lt;&gt;"",Calculator!H115&gt;0),E63*Calculator!H115,"")</f>
        <v>0</v>
      </c>
      <c r="G63" s="90">
        <f t="shared" si="3"/>
        <v>1</v>
      </c>
      <c r="J63" s="33"/>
    </row>
    <row r="64" spans="1:10">
      <c r="A64" s="26">
        <v>28</v>
      </c>
      <c r="B64" s="28" t="str">
        <f>IF(ISNA(VLOOKUP(Calculator!B117,Forb_Table,2,FALSE)),"",VLOOKUP(Calculator!B117,Forb_Table,2,FALSE))</f>
        <v xml:space="preserve">Veronicastrum virginicum  </v>
      </c>
      <c r="C64" s="129" t="str">
        <f>IF(ISBLANK(Calculator!B117),"",Calculator!B117)</f>
        <v>Culver's Root</v>
      </c>
      <c r="D64" s="678">
        <f>IF(C64="","",SUM(Calculator!E117:E118))</f>
        <v>3.4031250000000003E-3</v>
      </c>
      <c r="E64" s="678">
        <f t="shared" si="2"/>
        <v>0</v>
      </c>
      <c r="F64" s="682">
        <f>IF(AND(E64&lt;&gt;"",Calculator!H117&gt;0),E64*Calculator!H117,"")</f>
        <v>0</v>
      </c>
      <c r="G64" s="90">
        <f t="shared" si="3"/>
        <v>1</v>
      </c>
      <c r="J64" s="33"/>
    </row>
    <row r="65" spans="1:10">
      <c r="A65" s="26">
        <v>29</v>
      </c>
      <c r="B65" s="28" t="str">
        <f>IF(ISNA(VLOOKUP(Calculator!B119,Forb_Table,2,FALSE)),"",VLOOKUP(Calculator!B119,Forb_Table,2,FALSE))</f>
        <v xml:space="preserve">Zizia aurea  </v>
      </c>
      <c r="C65" s="129" t="str">
        <f>IF(ISBLANK(Calculator!B119),"",Calculator!B119)</f>
        <v>Golden Alexander's</v>
      </c>
      <c r="D65" s="678">
        <f>IF(C65="","",SUM(Calculator!E119:E120))</f>
        <v>4.9500000000000002E-2</v>
      </c>
      <c r="E65" s="678">
        <f t="shared" si="2"/>
        <v>0</v>
      </c>
      <c r="F65" s="682">
        <f>IF(AND(E65&lt;&gt;"",Calculator!H119&gt;0),E65*Calculator!H119,"")</f>
        <v>0</v>
      </c>
      <c r="G65" s="90">
        <f t="shared" si="3"/>
        <v>1</v>
      </c>
      <c r="J65" s="33"/>
    </row>
    <row r="66" spans="1:10">
      <c r="A66" s="26">
        <v>30</v>
      </c>
      <c r="B66" s="28" t="str">
        <f>IF(ISNA(VLOOKUP(Calculator!B121,Forb_Table,2,FALSE)),"",VLOOKUP(Calculator!B121,Forb_Table,2,FALSE))</f>
        <v/>
      </c>
      <c r="C66" s="129" t="str">
        <f>IF(ISBLANK(Calculator!B121),"",Calculator!B121)</f>
        <v/>
      </c>
      <c r="D66" s="678" t="str">
        <f>IF(C66="","",SUM(Calculator!E121:E122))</f>
        <v/>
      </c>
      <c r="E66" s="678" t="str">
        <f t="shared" si="2"/>
        <v/>
      </c>
      <c r="F66" s="682" t="str">
        <f>IF(AND(E66&lt;&gt;"",Calculator!H121&gt;0),E66*Calculator!H121,"")</f>
        <v/>
      </c>
      <c r="G66" s="90" t="str">
        <f t="shared" si="3"/>
        <v/>
      </c>
      <c r="J66" s="33"/>
    </row>
    <row r="67" spans="1:10">
      <c r="A67" s="26">
        <v>31</v>
      </c>
      <c r="B67" s="28" t="str">
        <f>IF(ISNA(VLOOKUP(Calculator!B123,Forb_Table,2,FALSE)),"",VLOOKUP(Calculator!B123,Forb_Table,2,FALSE))</f>
        <v/>
      </c>
      <c r="C67" s="129" t="str">
        <f>IF(ISBLANK(Calculator!B123),"",Calculator!B123)</f>
        <v/>
      </c>
      <c r="D67" s="678" t="str">
        <f>IF(C67="","",SUM(Calculator!E123:E124))</f>
        <v/>
      </c>
      <c r="E67" s="678" t="str">
        <f t="shared" si="2"/>
        <v/>
      </c>
      <c r="F67" s="682" t="str">
        <f>IF(AND(E67&lt;&gt;"",Calculator!H123&gt;0),E67*Calculator!H123,"")</f>
        <v/>
      </c>
      <c r="G67" s="90" t="str">
        <f t="shared" si="3"/>
        <v/>
      </c>
      <c r="J67" s="33"/>
    </row>
    <row r="68" spans="1:10">
      <c r="A68" s="26">
        <v>32</v>
      </c>
      <c r="B68" s="28" t="str">
        <f>IF(ISNA(VLOOKUP(Calculator!B125,Forb_Table,2,FALSE)),"",VLOOKUP(Calculator!B125,Forb_Table,2,FALSE))</f>
        <v/>
      </c>
      <c r="C68" s="129" t="str">
        <f>IF(ISBLANK(Calculator!B125),"",Calculator!B125)</f>
        <v/>
      </c>
      <c r="D68" s="678" t="str">
        <f>IF(C68="","",SUM(Calculator!E125:E126))</f>
        <v/>
      </c>
      <c r="E68" s="678" t="str">
        <f t="shared" si="2"/>
        <v/>
      </c>
      <c r="F68" s="682" t="str">
        <f>IF(AND(E68&lt;&gt;"",Calculator!H125&gt;0),E68*Calculator!H125,"")</f>
        <v/>
      </c>
      <c r="G68" s="90" t="str">
        <f t="shared" si="3"/>
        <v/>
      </c>
      <c r="J68" s="33"/>
    </row>
    <row r="69" spans="1:10">
      <c r="A69" s="26">
        <v>33</v>
      </c>
      <c r="B69" s="28" t="str">
        <f>IF(ISNA(VLOOKUP(Calculator!B127,Forb_Table,2,FALSE)),"",VLOOKUP(Calculator!B127,Forb_Table,2,FALSE))</f>
        <v/>
      </c>
      <c r="C69" s="129" t="str">
        <f>IF(ISBLANK(Calculator!B127),"",Calculator!B127)</f>
        <v/>
      </c>
      <c r="D69" s="678" t="str">
        <f>IF(C69="","",SUM(Calculator!E127:E128))</f>
        <v/>
      </c>
      <c r="E69" s="678" t="str">
        <f t="shared" si="2"/>
        <v/>
      </c>
      <c r="F69" s="682" t="str">
        <f>IF(AND(E69&lt;&gt;"",Calculator!H127&gt;0),E69*Calculator!H127,"")</f>
        <v/>
      </c>
      <c r="G69" s="90" t="str">
        <f t="shared" si="3"/>
        <v/>
      </c>
      <c r="J69" s="33"/>
    </row>
    <row r="70" spans="1:10">
      <c r="A70" s="26">
        <v>34</v>
      </c>
      <c r="B70" s="28" t="str">
        <f>IF(ISNA(VLOOKUP(Calculator!B129,Forb_Table,2,FALSE)),"",VLOOKUP(Calculator!B129,Forb_Table,2,FALSE))</f>
        <v/>
      </c>
      <c r="C70" s="129" t="str">
        <f>IF(ISBLANK(Calculator!B129),"",Calculator!B129)</f>
        <v/>
      </c>
      <c r="D70" s="678" t="str">
        <f>IF(C70="","",SUM(Calculator!E129:E130))</f>
        <v/>
      </c>
      <c r="E70" s="678" t="str">
        <f t="shared" si="2"/>
        <v/>
      </c>
      <c r="F70" s="682" t="str">
        <f>IF(AND(E70&lt;&gt;"",Calculator!H129&gt;0),E70*Calculator!H129,"")</f>
        <v/>
      </c>
      <c r="G70" s="90" t="str">
        <f t="shared" si="3"/>
        <v/>
      </c>
      <c r="J70" s="33"/>
    </row>
    <row r="71" spans="1:10">
      <c r="A71" s="26">
        <v>35</v>
      </c>
      <c r="B71" s="28" t="str">
        <f>IF(ISNA(VLOOKUP(Calculator!B131,Forb_Table,2,FALSE)),"",VLOOKUP(Calculator!B131,Forb_Table,2,FALSE))</f>
        <v/>
      </c>
      <c r="C71" s="129" t="str">
        <f>IF(ISBLANK(Calculator!B131),"",Calculator!B131)</f>
        <v/>
      </c>
      <c r="D71" s="678" t="str">
        <f>IF(C71="","",SUM(Calculator!E131:E132))</f>
        <v/>
      </c>
      <c r="E71" s="678" t="str">
        <f t="shared" si="2"/>
        <v/>
      </c>
      <c r="F71" s="682" t="str">
        <f>IF(AND(E71&lt;&gt;"",Calculator!H131&gt;0),E71*Calculator!H131,"")</f>
        <v/>
      </c>
      <c r="G71" s="90" t="str">
        <f t="shared" si="3"/>
        <v/>
      </c>
      <c r="J71" s="33"/>
    </row>
    <row r="72" spans="1:10" ht="13.5" customHeight="1">
      <c r="A72" s="26">
        <v>36</v>
      </c>
      <c r="B72" s="28" t="str">
        <f>IF(ISNA(VLOOKUP(Calculator!B133,Forb_Table,2,FALSE)),"",VLOOKUP(Calculator!B133,Forb_Table,2,FALSE))</f>
        <v/>
      </c>
      <c r="C72" s="129" t="str">
        <f>IF(ISBLANK(Calculator!B133),"",Calculator!B133)</f>
        <v/>
      </c>
      <c r="D72" s="678" t="str">
        <f>IF(C72="","",SUM(Calculator!E133:E134))</f>
        <v/>
      </c>
      <c r="E72" s="678" t="str">
        <f t="shared" si="2"/>
        <v/>
      </c>
      <c r="F72" s="682" t="str">
        <f>IF(AND(E72&lt;&gt;"",Calculator!H133&gt;0),E72*Calculator!H133,"")</f>
        <v/>
      </c>
      <c r="G72" s="90" t="str">
        <f t="shared" si="3"/>
        <v/>
      </c>
      <c r="J72" s="33"/>
    </row>
    <row r="73" spans="1:10" ht="13.5" customHeight="1">
      <c r="A73" s="26">
        <v>37</v>
      </c>
      <c r="B73" s="28" t="str">
        <f>IF(ISNA(VLOOKUP(Calculator!B135,Forb_Table,2,FALSE)),"",VLOOKUP(Calculator!B135,Forb_Table,2,FALSE))</f>
        <v/>
      </c>
      <c r="C73" s="129" t="str">
        <f>IF(ISBLANK(Calculator!B135),"",Calculator!B135)</f>
        <v/>
      </c>
      <c r="D73" s="678" t="str">
        <f>IF(C73="","",SUM(Calculator!E135:E136))</f>
        <v/>
      </c>
      <c r="E73" s="678" t="str">
        <f t="shared" si="2"/>
        <v/>
      </c>
      <c r="F73" s="682" t="str">
        <f>IF(AND(E73&lt;&gt;"",Calculator!H135&gt;0),E73*Calculator!H135,"")</f>
        <v/>
      </c>
      <c r="G73" s="90" t="str">
        <f t="shared" si="3"/>
        <v/>
      </c>
      <c r="J73" s="33"/>
    </row>
    <row r="74" spans="1:10" ht="13.5" customHeight="1">
      <c r="A74" s="26">
        <v>38</v>
      </c>
      <c r="B74" s="28" t="str">
        <f>IF(ISNA(VLOOKUP(Calculator!B137,Forb_Table,2,FALSE)),"",VLOOKUP(Calculator!B137,Forb_Table,2,FALSE))</f>
        <v/>
      </c>
      <c r="C74" s="129" t="str">
        <f>IF(ISBLANK(Calculator!B137),"",Calculator!B137)</f>
        <v/>
      </c>
      <c r="D74" s="678" t="str">
        <f>IF(C74="","",SUM(Calculator!E137:E138))</f>
        <v/>
      </c>
      <c r="E74" s="678" t="str">
        <f t="shared" si="2"/>
        <v/>
      </c>
      <c r="F74" s="682" t="str">
        <f>IF(AND(E74&lt;&gt;"",Calculator!H137&gt;0),E74*Calculator!H137,"")</f>
        <v/>
      </c>
      <c r="G74" s="90" t="str">
        <f t="shared" si="3"/>
        <v/>
      </c>
      <c r="J74" s="33"/>
    </row>
    <row r="75" spans="1:10" ht="13.5" customHeight="1">
      <c r="A75" s="26">
        <v>39</v>
      </c>
      <c r="B75" s="28" t="str">
        <f>IF(ISNA(VLOOKUP(Calculator!B139,Forb_Table,2,FALSE)),"",VLOOKUP(Calculator!B139,Forb_Table,2,FALSE))</f>
        <v/>
      </c>
      <c r="C75" s="129" t="str">
        <f>IF(ISBLANK(Calculator!B139),"",Calculator!B139)</f>
        <v/>
      </c>
      <c r="D75" s="678" t="str">
        <f>IF(C75="","",SUM(Calculator!E139:E140))</f>
        <v/>
      </c>
      <c r="E75" s="678" t="str">
        <f t="shared" si="2"/>
        <v/>
      </c>
      <c r="F75" s="682" t="str">
        <f>IF(AND(E75&lt;&gt;"",Calculator!H139&gt;0),E75*Calculator!H139,"")</f>
        <v/>
      </c>
      <c r="G75" s="90" t="str">
        <f t="shared" si="3"/>
        <v/>
      </c>
      <c r="J75" s="33"/>
    </row>
    <row r="76" spans="1:10">
      <c r="A76" s="26">
        <v>40</v>
      </c>
      <c r="B76" s="28" t="str">
        <f>IF(ISNA(VLOOKUP(Calculator!B141,Forb_Table,2,FALSE)),"",VLOOKUP(Calculator!B141,Forb_Table,2,FALSE))</f>
        <v/>
      </c>
      <c r="C76" s="129" t="str">
        <f>IF(ISBLANK(Calculator!B141),"",Calculator!B141)</f>
        <v/>
      </c>
      <c r="D76" s="678" t="str">
        <f>IF(C76="","",SUM(Calculator!E141:E142))</f>
        <v/>
      </c>
      <c r="E76" s="678" t="str">
        <f t="shared" si="2"/>
        <v/>
      </c>
      <c r="F76" s="682" t="str">
        <f>IF(AND(E76&lt;&gt;"",Calculator!H141&gt;0),E76*Calculator!H141,"")</f>
        <v/>
      </c>
      <c r="G76" s="90" t="str">
        <f t="shared" si="3"/>
        <v/>
      </c>
      <c r="J76" s="33"/>
    </row>
    <row r="77" spans="1:10" ht="12.75" hidden="1" customHeight="1">
      <c r="A77" s="88"/>
      <c r="B77" s="88"/>
      <c r="C77" s="89" t="s">
        <v>904</v>
      </c>
      <c r="D77" s="679">
        <f>SUM(D37:D76)</f>
        <v>2.2624533911325475</v>
      </c>
      <c r="E77" s="679">
        <f>SUM(E37:E76)</f>
        <v>0</v>
      </c>
      <c r="F77" s="685">
        <f>SUM(F37:F76)</f>
        <v>0</v>
      </c>
      <c r="J77" s="33"/>
    </row>
    <row r="78" spans="1:10">
      <c r="A78" s="28"/>
      <c r="B78" s="28"/>
      <c r="C78" s="28"/>
      <c r="D78" s="680"/>
      <c r="E78" s="681"/>
      <c r="F78" s="686"/>
      <c r="J78" s="33"/>
    </row>
    <row r="79" spans="1:10" ht="26.25" thickBot="1">
      <c r="A79" s="72" t="s">
        <v>1089</v>
      </c>
      <c r="B79" s="64" t="s">
        <v>885</v>
      </c>
      <c r="C79" s="64" t="s">
        <v>857</v>
      </c>
      <c r="D79" s="453" t="s">
        <v>11300</v>
      </c>
      <c r="E79" s="72" t="s">
        <v>11299</v>
      </c>
      <c r="F79" s="683" t="s">
        <v>941</v>
      </c>
      <c r="J79" s="33"/>
    </row>
    <row r="80" spans="1:10">
      <c r="A80" s="26">
        <v>1</v>
      </c>
      <c r="B80" s="28" t="str">
        <f>IF(ISNA(VLOOKUP(Calculator!B151,Woody_Table,2,FALSE)),"",VLOOKUP(Calculator!B151,Woody_Table,2,FALSE))</f>
        <v xml:space="preserve">Rosa palustris  </v>
      </c>
      <c r="C80" s="129" t="str">
        <f>IF(ISBLANK(Calculator!B151),"",Calculator!B151)</f>
        <v xml:space="preserve">Swamp Rose  </v>
      </c>
      <c r="D80" s="678">
        <f>IF(C80="","",SUM(Calculator!E151:E152))</f>
        <v>0.17015625000000001</v>
      </c>
      <c r="E80" s="678">
        <f>IF(D80&lt;&gt;"",D80*$D$9,"")</f>
        <v>0</v>
      </c>
      <c r="F80" s="682">
        <f>IF(AND(E80&lt;&gt;"",Calculator!H151&gt;0),E80*Calculator!H151,"")</f>
        <v>0</v>
      </c>
      <c r="G80" s="90">
        <f>IF(LEN(B80)&gt;1,VALUE("1"),"")</f>
        <v>1</v>
      </c>
      <c r="J80" s="33"/>
    </row>
    <row r="81" spans="1:15">
      <c r="A81" s="26">
        <v>2</v>
      </c>
      <c r="B81" s="28" t="str">
        <f>IF(ISNA(VLOOKUP(Calculator!B153,Woody_Table,2,FALSE)),"",VLOOKUP(Calculator!B153,Woody_Table,2,FALSE))</f>
        <v/>
      </c>
      <c r="C81" s="129" t="str">
        <f>IF(ISBLANK(Calculator!B153),"",Calculator!B153)</f>
        <v/>
      </c>
      <c r="D81" s="678" t="str">
        <f>IF(C81="","",SUM(Calculator!E153:E154))</f>
        <v/>
      </c>
      <c r="E81" s="678" t="str">
        <f>IF(D81&lt;&gt;"",D81*$D$9,"")</f>
        <v/>
      </c>
      <c r="F81" s="682" t="str">
        <f>IF(AND(E81&lt;&gt;"",Calculator!H153&gt;0),E81*Calculator!H153,"")</f>
        <v/>
      </c>
      <c r="G81" s="90" t="str">
        <f>IF(LEN(B81)&gt;1,VALUE("1"),"")</f>
        <v/>
      </c>
      <c r="J81" s="33"/>
    </row>
    <row r="82" spans="1:15">
      <c r="A82" s="26">
        <v>3</v>
      </c>
      <c r="B82" s="28" t="str">
        <f>IF(ISNA(VLOOKUP(Calculator!B155,Woody_Table,2,FALSE)),"",VLOOKUP(Calculator!B155,Woody_Table,2,FALSE))</f>
        <v/>
      </c>
      <c r="C82" s="129" t="str">
        <f>IF(ISBLANK(Calculator!B155),"",Calculator!B155)</f>
        <v/>
      </c>
      <c r="D82" s="678" t="str">
        <f>IF(C82="","",SUM(Calculator!E155:E156))</f>
        <v/>
      </c>
      <c r="E82" s="678" t="str">
        <f>IF(D82&lt;&gt;"",D82*$D$9,"")</f>
        <v/>
      </c>
      <c r="F82" s="682" t="str">
        <f>IF(AND(E82&lt;&gt;"",Calculator!H155&gt;0),E82*Calculator!H155,"")</f>
        <v/>
      </c>
      <c r="G82" s="90" t="str">
        <f>IF(LEN(B82)&gt;1,VALUE("1"),"")</f>
        <v/>
      </c>
      <c r="J82" s="33"/>
    </row>
    <row r="83" spans="1:15">
      <c r="A83" s="26">
        <v>4</v>
      </c>
      <c r="B83" s="28" t="str">
        <f>IF(ISNA(VLOOKUP(Calculator!B157,Woody_Table,2,FALSE)),"",VLOOKUP(Calculator!B157,Woody_Table,2,FALSE))</f>
        <v/>
      </c>
      <c r="C83" s="129" t="str">
        <f>IF(ISBLANK(Calculator!B157),"",Calculator!B157)</f>
        <v/>
      </c>
      <c r="D83" s="678" t="str">
        <f>IF(C83="","",SUM(Calculator!E157:E158))</f>
        <v/>
      </c>
      <c r="E83" s="678" t="str">
        <f>IF(D83&lt;&gt;"",D83*$D$9,"")</f>
        <v/>
      </c>
      <c r="F83" s="682" t="str">
        <f>IF(AND(E83&lt;&gt;"",Calculator!H157&gt;0),E83*Calculator!H157,"")</f>
        <v/>
      </c>
      <c r="G83" s="90" t="str">
        <f>IF(LEN(B83)&gt;1,VALUE("1"),"")</f>
        <v/>
      </c>
      <c r="J83" s="33"/>
    </row>
    <row r="84" spans="1:15" ht="13.5" thickBot="1">
      <c r="A84" s="72">
        <v>5</v>
      </c>
      <c r="B84" s="42" t="str">
        <f>IF(ISNA(VLOOKUP(Calculator!B159,Woody_Table,2,FALSE)),"",VLOOKUP(Calculator!B159,Woody_Table,2,FALSE))</f>
        <v/>
      </c>
      <c r="C84" s="192" t="str">
        <f>IF(ISBLANK(Calculator!B159),"",Calculator!B159)</f>
        <v/>
      </c>
      <c r="D84" s="687" t="str">
        <f>IF(C84="","",SUM(Calculator!E159:E160))</f>
        <v/>
      </c>
      <c r="E84" s="687" t="str">
        <f>IF(D84&lt;&gt;"",D84*$D$9,"")</f>
        <v/>
      </c>
      <c r="F84" s="688" t="str">
        <f>IF(AND(E84&lt;&gt;"",Calculator!H159&gt;0),E84*Calculator!H159,"")</f>
        <v/>
      </c>
      <c r="G84" s="90" t="str">
        <f>IF(LEN(B84)&gt;1,VALUE("1"),"")</f>
        <v/>
      </c>
      <c r="J84" s="33"/>
    </row>
    <row r="85" spans="1:15" ht="12.75" hidden="1" customHeight="1">
      <c r="A85" s="88"/>
      <c r="B85" s="88"/>
      <c r="C85" s="89" t="s">
        <v>4</v>
      </c>
      <c r="D85" s="679">
        <f>SUM(D80:D84)</f>
        <v>0.17015625000000001</v>
      </c>
      <c r="E85" s="679">
        <f>SUM(E80:E84)</f>
        <v>0</v>
      </c>
      <c r="F85" s="685">
        <f>SUM(F80:F84)</f>
        <v>0</v>
      </c>
      <c r="G85" s="25"/>
      <c r="J85" s="33"/>
    </row>
    <row r="86" spans="1:15">
      <c r="A86" s="28"/>
      <c r="B86" s="28"/>
      <c r="C86" s="99"/>
      <c r="D86" s="689"/>
      <c r="E86" s="689"/>
      <c r="F86" s="682" t="s">
        <v>15</v>
      </c>
      <c r="G86" s="25"/>
      <c r="J86" s="33"/>
    </row>
    <row r="87" spans="1:15">
      <c r="A87" s="28"/>
      <c r="B87" s="28"/>
      <c r="C87" s="28"/>
      <c r="D87" s="680"/>
      <c r="E87" s="17"/>
      <c r="F87" s="690"/>
      <c r="J87" s="33"/>
    </row>
    <row r="88" spans="1:15" ht="16.5" thickBot="1">
      <c r="A88" s="454" t="s">
        <v>11132</v>
      </c>
      <c r="B88" s="454"/>
      <c r="C88" s="455"/>
      <c r="D88" s="691">
        <f>SUM(D80:D84,D37:D76,D14:D33)</f>
        <v>5.4150190988489202</v>
      </c>
      <c r="E88" s="691">
        <f>SUM(E80:E84,E37:E76,E14:E33)</f>
        <v>0</v>
      </c>
      <c r="F88" s="692">
        <f>SUM(F14:F33,F37:F76,F80:F84)</f>
        <v>0</v>
      </c>
      <c r="J88" s="33"/>
    </row>
    <row r="89" spans="1:15" s="10" customFormat="1" ht="13.5" thickBot="1">
      <c r="A89" s="29"/>
      <c r="B89" s="79"/>
      <c r="C89" s="28"/>
      <c r="D89" s="17"/>
      <c r="E89" s="17"/>
      <c r="F89" s="17"/>
      <c r="G89" s="20"/>
      <c r="H89" s="4"/>
      <c r="I89" s="20"/>
      <c r="J89" s="33"/>
      <c r="K89" s="20"/>
      <c r="L89" s="20"/>
      <c r="M89" s="20"/>
      <c r="N89" s="20"/>
      <c r="O89" s="20"/>
    </row>
    <row r="90" spans="1:15" s="10" customFormat="1">
      <c r="A90" s="780" t="s">
        <v>919</v>
      </c>
      <c r="B90" s="781"/>
      <c r="C90" s="65" t="s">
        <v>16</v>
      </c>
      <c r="D90" s="775" t="s">
        <v>918</v>
      </c>
      <c r="E90" s="776"/>
      <c r="F90" s="28"/>
      <c r="H90" s="4"/>
      <c r="J90" s="33"/>
    </row>
    <row r="91" spans="1:15" s="10" customFormat="1" ht="13.5" thickBot="1">
      <c r="A91" s="782"/>
      <c r="B91" s="783"/>
      <c r="C91" s="66" t="s">
        <v>17</v>
      </c>
      <c r="D91" s="794" t="s">
        <v>928</v>
      </c>
      <c r="E91" s="795"/>
      <c r="F91" s="28"/>
      <c r="H91" s="4"/>
      <c r="J91" s="33"/>
    </row>
    <row r="92" spans="1:15" s="10" customFormat="1">
      <c r="A92" s="778" t="s">
        <v>935</v>
      </c>
      <c r="B92" s="779"/>
      <c r="C92" s="75">
        <v>2000</v>
      </c>
      <c r="D92" s="803">
        <f>$D$9*C92</f>
        <v>0</v>
      </c>
      <c r="E92" s="804"/>
      <c r="F92" s="28"/>
      <c r="G92" s="33"/>
      <c r="H92" s="4"/>
      <c r="J92" s="33"/>
    </row>
    <row r="93" spans="1:15" s="10" customFormat="1" ht="13.5" thickBot="1">
      <c r="A93" s="792" t="s">
        <v>920</v>
      </c>
      <c r="B93" s="793"/>
      <c r="C93" s="76">
        <v>30</v>
      </c>
      <c r="D93" s="805">
        <f>$D$9*C93</f>
        <v>0</v>
      </c>
      <c r="E93" s="806"/>
      <c r="F93" s="28"/>
      <c r="G93" s="33"/>
      <c r="H93" s="4"/>
      <c r="J93" s="33"/>
    </row>
    <row r="94" spans="1:15" s="10" customFormat="1">
      <c r="A94" s="792" t="s">
        <v>921</v>
      </c>
      <c r="B94" s="793"/>
      <c r="C94" s="76">
        <v>30</v>
      </c>
      <c r="D94" s="807">
        <f>$D$9*C94</f>
        <v>0</v>
      </c>
      <c r="E94" s="808"/>
      <c r="F94" s="28"/>
      <c r="G94" s="33"/>
      <c r="H94" s="4"/>
      <c r="J94" s="33"/>
    </row>
    <row r="95" spans="1:15" s="10" customFormat="1" ht="13.5" thickBot="1">
      <c r="A95" s="790" t="s">
        <v>922</v>
      </c>
      <c r="B95" s="791"/>
      <c r="C95" s="77">
        <v>40</v>
      </c>
      <c r="D95" s="805">
        <f>$D$9*C95</f>
        <v>0</v>
      </c>
      <c r="E95" s="806"/>
      <c r="F95" s="28"/>
      <c r="G95" s="33"/>
      <c r="H95" s="4"/>
      <c r="J95" s="33"/>
    </row>
    <row r="96" spans="1:15" s="10" customFormat="1">
      <c r="A96" s="17"/>
      <c r="B96" s="17"/>
      <c r="C96" s="17"/>
      <c r="D96" s="17"/>
      <c r="E96" s="17"/>
      <c r="F96" s="17"/>
      <c r="G96" s="24"/>
      <c r="H96" s="4"/>
      <c r="J96" s="33"/>
    </row>
    <row r="97" spans="1:15" s="10" customFormat="1">
      <c r="A97" s="789"/>
      <c r="B97" s="789"/>
      <c r="C97" s="38"/>
      <c r="D97" s="729"/>
      <c r="E97" s="38"/>
      <c r="F97" s="19"/>
      <c r="G97" s="190" t="s">
        <v>1211</v>
      </c>
      <c r="H97" s="4"/>
      <c r="J97" s="33"/>
      <c r="L97" s="30"/>
      <c r="M97" s="43"/>
      <c r="N97" s="43"/>
      <c r="O97" s="43"/>
    </row>
    <row r="98" spans="1:15" s="10" customFormat="1">
      <c r="A98" s="39"/>
      <c r="B98" s="28"/>
      <c r="C98" s="39"/>
      <c r="D98" s="39"/>
      <c r="E98" s="39"/>
      <c r="F98" s="19"/>
      <c r="G98" s="190" t="s">
        <v>1212</v>
      </c>
      <c r="H98" s="4"/>
      <c r="I98" s="45"/>
      <c r="J98" s="33"/>
      <c r="K98" s="45"/>
      <c r="L98" s="30"/>
      <c r="M98" s="44"/>
      <c r="N98" s="44"/>
      <c r="O98" s="44"/>
    </row>
    <row r="99" spans="1:15" s="10" customFormat="1">
      <c r="A99" s="788" t="s">
        <v>937</v>
      </c>
      <c r="B99" s="788"/>
      <c r="C99" s="796"/>
      <c r="D99" s="796"/>
      <c r="E99" s="796"/>
      <c r="F99" s="796"/>
      <c r="G99" s="191" t="s">
        <v>1213</v>
      </c>
      <c r="H99" s="4"/>
      <c r="I99" s="36"/>
      <c r="J99" s="33"/>
      <c r="K99" s="36"/>
      <c r="L99" s="36"/>
      <c r="M99" s="36"/>
      <c r="N99" s="36"/>
      <c r="O99" s="36"/>
    </row>
    <row r="100" spans="1:15" s="10" customFormat="1">
      <c r="A100" s="796"/>
      <c r="B100" s="796"/>
      <c r="C100" s="796"/>
      <c r="D100" s="796"/>
      <c r="E100" s="796"/>
      <c r="F100" s="796"/>
      <c r="G100" s="190" t="s">
        <v>936</v>
      </c>
      <c r="H100" s="4"/>
      <c r="I100" s="51"/>
      <c r="K100" s="51"/>
      <c r="L100" s="51"/>
      <c r="M100" s="51"/>
      <c r="N100" s="51"/>
      <c r="O100" s="51"/>
    </row>
    <row r="101" spans="1:15" s="10" customFormat="1" ht="13.5" thickBot="1">
      <c r="A101" s="798"/>
      <c r="B101" s="798"/>
      <c r="C101" s="798"/>
      <c r="D101" s="798"/>
      <c r="E101" s="798"/>
      <c r="F101" s="798"/>
      <c r="H101" s="4"/>
      <c r="I101" s="51"/>
      <c r="K101" s="51"/>
      <c r="L101" s="51"/>
      <c r="M101" s="51"/>
      <c r="N101" s="51"/>
      <c r="O101" s="51"/>
    </row>
    <row r="102" spans="1:15" s="10" customFormat="1">
      <c r="A102" s="39"/>
      <c r="B102" s="39"/>
      <c r="C102" s="39"/>
      <c r="D102" s="39"/>
      <c r="E102" s="39"/>
      <c r="F102" s="17"/>
      <c r="G102" s="24"/>
      <c r="H102" s="4"/>
      <c r="I102" s="20"/>
      <c r="K102" s="20"/>
      <c r="L102" s="20"/>
      <c r="M102" s="20"/>
      <c r="N102" s="20"/>
      <c r="O102" s="20"/>
    </row>
    <row r="103" spans="1:15" s="10" customFormat="1">
      <c r="A103" s="67" t="s">
        <v>929</v>
      </c>
      <c r="B103" s="68"/>
      <c r="C103" s="69" t="s">
        <v>930</v>
      </c>
      <c r="D103" s="28"/>
      <c r="E103" s="28"/>
      <c r="F103" s="83"/>
      <c r="G103" s="46"/>
      <c r="H103" s="4"/>
      <c r="I103" s="43"/>
      <c r="K103" s="43"/>
      <c r="L103" s="30"/>
      <c r="M103" s="30"/>
      <c r="N103" s="30"/>
      <c r="O103" s="30"/>
    </row>
    <row r="104" spans="1:15" s="10" customFormat="1">
      <c r="A104" s="38"/>
      <c r="B104" s="21" t="s">
        <v>934</v>
      </c>
      <c r="C104" s="21"/>
      <c r="D104" s="28"/>
      <c r="E104" s="28"/>
      <c r="F104" s="38"/>
      <c r="G104" s="43"/>
      <c r="H104" s="4"/>
      <c r="I104" s="43"/>
      <c r="K104" s="43"/>
      <c r="L104" s="30"/>
      <c r="M104" s="30"/>
      <c r="N104" s="30"/>
      <c r="O104" s="30"/>
    </row>
    <row r="105" spans="1:15" s="10" customFormat="1">
      <c r="A105" s="39"/>
      <c r="B105" s="39"/>
      <c r="C105" s="39"/>
      <c r="D105" s="39"/>
      <c r="E105" s="39"/>
      <c r="F105" s="39"/>
      <c r="G105" s="189"/>
      <c r="H105" s="4"/>
      <c r="I105" s="44"/>
      <c r="K105" s="44"/>
      <c r="L105" s="44"/>
      <c r="M105" s="44"/>
      <c r="N105" s="44"/>
      <c r="O105" s="44"/>
    </row>
    <row r="106" spans="1:15" s="10" customFormat="1">
      <c r="A106" s="797"/>
      <c r="B106" s="797"/>
      <c r="C106" s="70"/>
      <c r="D106" s="797"/>
      <c r="E106" s="797"/>
      <c r="F106" s="70"/>
      <c r="G106" s="54"/>
      <c r="H106" s="4"/>
      <c r="I106" s="54"/>
      <c r="K106" s="47"/>
      <c r="O106" s="47"/>
    </row>
    <row r="107" spans="1:15" s="10" customFormat="1">
      <c r="A107" s="799" t="s">
        <v>924</v>
      </c>
      <c r="B107" s="799"/>
      <c r="C107" s="40"/>
      <c r="D107" s="799" t="s">
        <v>923</v>
      </c>
      <c r="E107" s="799"/>
      <c r="F107" s="21"/>
      <c r="G107" s="48"/>
      <c r="H107" s="4"/>
      <c r="I107" s="48"/>
      <c r="K107" s="49"/>
      <c r="O107" s="50"/>
    </row>
    <row r="108" spans="1:15" s="10" customFormat="1">
      <c r="A108" s="39"/>
      <c r="B108" s="39"/>
      <c r="C108" s="39"/>
      <c r="D108" s="39"/>
      <c r="E108" s="39"/>
      <c r="F108" s="39"/>
      <c r="G108" s="189"/>
      <c r="H108" s="4"/>
      <c r="I108" s="44"/>
      <c r="K108" s="44"/>
      <c r="L108" s="44"/>
      <c r="M108" s="44"/>
      <c r="N108" s="44"/>
      <c r="O108" s="44"/>
    </row>
    <row r="109" spans="1:15" s="10" customFormat="1">
      <c r="A109" s="26" t="s">
        <v>925</v>
      </c>
      <c r="B109" s="71"/>
      <c r="C109" s="26" t="s">
        <v>926</v>
      </c>
      <c r="D109" s="801"/>
      <c r="E109" s="801"/>
      <c r="F109" s="801"/>
      <c r="G109" s="55"/>
      <c r="H109" s="4"/>
      <c r="I109" s="51"/>
    </row>
    <row r="110" spans="1:15" s="10" customFormat="1">
      <c r="A110" s="19"/>
      <c r="B110" s="41"/>
      <c r="C110" s="41"/>
      <c r="D110" s="799" t="s">
        <v>927</v>
      </c>
      <c r="E110" s="799"/>
      <c r="F110" s="799"/>
      <c r="G110" s="52"/>
      <c r="H110" s="4"/>
      <c r="I110" s="52"/>
    </row>
    <row r="111" spans="1:15" s="10" customFormat="1" ht="13.5" thickBot="1">
      <c r="A111" s="42"/>
      <c r="B111" s="42"/>
      <c r="C111" s="42"/>
      <c r="D111" s="42"/>
      <c r="E111" s="42"/>
      <c r="F111" s="42"/>
      <c r="H111" s="4"/>
    </row>
    <row r="112" spans="1:15" s="10" customFormat="1">
      <c r="A112" s="802" t="s">
        <v>931</v>
      </c>
      <c r="B112" s="802"/>
      <c r="C112" s="802"/>
      <c r="D112" s="802"/>
      <c r="E112" s="802"/>
      <c r="F112" s="802"/>
    </row>
    <row r="113" spans="1:15" s="10" customFormat="1" ht="12.75" customHeight="1">
      <c r="A113" s="800" t="s">
        <v>933</v>
      </c>
      <c r="B113" s="800"/>
      <c r="C113" s="800"/>
      <c r="D113" s="800"/>
      <c r="E113" s="800"/>
      <c r="F113" s="800"/>
      <c r="G113" s="53"/>
      <c r="H113" s="53"/>
      <c r="I113" s="53"/>
      <c r="J113" s="53"/>
      <c r="K113" s="53"/>
      <c r="L113" s="53"/>
      <c r="M113" s="53"/>
      <c r="N113" s="53"/>
      <c r="O113" s="53"/>
    </row>
    <row r="114" spans="1:15">
      <c r="A114" s="788" t="s">
        <v>932</v>
      </c>
      <c r="B114" s="788"/>
      <c r="C114" s="788"/>
      <c r="D114" s="788"/>
      <c r="E114" s="788"/>
      <c r="F114" s="788"/>
    </row>
  </sheetData>
  <mergeCells count="32">
    <mergeCell ref="A113:F113"/>
    <mergeCell ref="A114:F114"/>
    <mergeCell ref="D109:F109"/>
    <mergeCell ref="D110:F110"/>
    <mergeCell ref="A112:F112"/>
    <mergeCell ref="A106:B106"/>
    <mergeCell ref="A101:F101"/>
    <mergeCell ref="A100:F100"/>
    <mergeCell ref="D107:E107"/>
    <mergeCell ref="D106:E106"/>
    <mergeCell ref="A107:B107"/>
    <mergeCell ref="A99:B99"/>
    <mergeCell ref="A97:B97"/>
    <mergeCell ref="A95:B95"/>
    <mergeCell ref="A93:B93"/>
    <mergeCell ref="D91:E91"/>
    <mergeCell ref="C99:F99"/>
    <mergeCell ref="D92:E92"/>
    <mergeCell ref="D93:E93"/>
    <mergeCell ref="D94:E94"/>
    <mergeCell ref="D95:E95"/>
    <mergeCell ref="A94:B94"/>
    <mergeCell ref="B6:C6"/>
    <mergeCell ref="E1:F1"/>
    <mergeCell ref="E2:F2"/>
    <mergeCell ref="E3:F3"/>
    <mergeCell ref="A4:F4"/>
    <mergeCell ref="B7:C7"/>
    <mergeCell ref="D90:E90"/>
    <mergeCell ref="A11:F11"/>
    <mergeCell ref="A92:B92"/>
    <mergeCell ref="A90:B91"/>
  </mergeCells>
  <phoneticPr fontId="27" type="noConversion"/>
  <conditionalFormatting sqref="F14:F33 F37:F76 F80:F84">
    <cfRule type="cellIs" dxfId="21" priority="17" stopIfTrue="1" operator="lessThan">
      <formula>1</formula>
    </cfRule>
  </conditionalFormatting>
  <conditionalFormatting sqref="D85:E3578 D79:E79 D36:E36">
    <cfRule type="cellIs" dxfId="20" priority="7" stopIfTrue="1" operator="greaterThanOrEqual">
      <formula>0.1</formula>
    </cfRule>
  </conditionalFormatting>
  <conditionalFormatting sqref="D14:E35 D37:E78 D80:E84">
    <cfRule type="cellIs" dxfId="19" priority="6" stopIfTrue="1" operator="greaterThanOrEqual">
      <formula>0.000001</formula>
    </cfRule>
    <cfRule type="cellIs" dxfId="18" priority="5" stopIfTrue="1" operator="greaterThanOrEqual">
      <formula>0.00001</formula>
    </cfRule>
    <cfRule type="cellIs" dxfId="17" priority="4" stopIfTrue="1" operator="greaterThanOrEqual">
      <formula>0.0001</formula>
    </cfRule>
    <cfRule type="cellIs" dxfId="16" priority="3" stopIfTrue="1" operator="greaterThanOrEqual">
      <formula>0.001</formula>
    </cfRule>
    <cfRule type="cellIs" dxfId="15" priority="2" stopIfTrue="1" operator="greaterThanOrEqual">
      <formula>0.01</formula>
    </cfRule>
    <cfRule type="cellIs" dxfId="14" priority="1" operator="greaterThanOrEqual">
      <formula>0.1</formula>
    </cfRule>
  </conditionalFormatting>
  <pageMargins left="0.75" right="0.75" top="0.7" bottom="0.7" header="0.5" footer="0.5"/>
  <pageSetup scale="93" fitToHeight="2" orientation="portrait" horizontalDpi="300" r:id="rId1"/>
  <headerFooter alignWithMargins="0"/>
  <rowBreaks count="1" manualBreakCount="1">
    <brk id="88" max="16383" man="1"/>
  </rowBreaks>
  <drawing r:id="rId2"/>
  <legacyDrawing r:id="rId3"/>
</worksheet>
</file>

<file path=xl/worksheets/sheet4.xml><?xml version="1.0" encoding="utf-8"?>
<worksheet xmlns="http://schemas.openxmlformats.org/spreadsheetml/2006/main" xmlns:r="http://schemas.openxmlformats.org/officeDocument/2006/relationships">
  <sheetPr codeName="Grasses">
    <tabColor theme="0" tint="-0.499984740745262"/>
    <pageSetUpPr fitToPage="1"/>
  </sheetPr>
  <dimension ref="A1:AJ677"/>
  <sheetViews>
    <sheetView zoomScaleNormal="100" workbookViewId="0">
      <pane xSplit="3" ySplit="2" topLeftCell="D3" activePane="bottomRight" state="frozen"/>
      <selection pane="topRight" activeCell="D1" sqref="D1"/>
      <selection pane="bottomLeft" activeCell="A3" sqref="A3"/>
      <selection pane="bottomRight"/>
    </sheetView>
  </sheetViews>
  <sheetFormatPr defaultColWidth="38.5703125" defaultRowHeight="12.75"/>
  <cols>
    <col min="1" max="1" width="18.7109375" style="226" bestFit="1" customWidth="1"/>
    <col min="2" max="2" width="23.42578125" style="226" bestFit="1" customWidth="1"/>
    <col min="3" max="3" width="30.7109375" style="227" customWidth="1"/>
    <col min="4" max="4" width="8" style="229" bestFit="1" customWidth="1"/>
    <col min="5" max="5" width="7.42578125" style="229" customWidth="1"/>
    <col min="6" max="6" width="7" style="229" customWidth="1"/>
    <col min="7" max="10" width="9" style="229" customWidth="1"/>
    <col min="11" max="11" width="11.28515625" style="229" customWidth="1"/>
    <col min="12" max="21" width="6.28515625" style="229" customWidth="1"/>
    <col min="22" max="22" width="13.42578125" style="226" customWidth="1"/>
    <col min="23" max="23" width="10.28515625" style="228" customWidth="1"/>
    <col min="24" max="24" width="7.28515625" style="228" customWidth="1"/>
    <col min="25" max="25" width="9.85546875" style="229" customWidth="1"/>
    <col min="26" max="26" width="9.85546875" style="226" customWidth="1"/>
    <col min="27" max="27" width="9.28515625" style="230" bestFit="1" customWidth="1"/>
    <col min="28" max="28" width="9.140625" style="226" customWidth="1"/>
    <col min="29" max="29" width="9.7109375" style="226" customWidth="1"/>
    <col min="30" max="30" width="7.28515625" style="226" customWidth="1"/>
    <col min="31" max="31" width="14.42578125" style="226" bestFit="1" customWidth="1"/>
    <col min="32" max="32" width="13.28515625" style="263" customWidth="1"/>
    <col min="33" max="33" width="37.42578125" style="226" customWidth="1"/>
    <col min="34" max="34" width="11.42578125" style="226" bestFit="1" customWidth="1"/>
    <col min="36" max="36" width="39.42578125" style="109" customWidth="1"/>
    <col min="37" max="16384" width="38.5703125" style="13"/>
  </cols>
  <sheetData>
    <row r="1" spans="1:36">
      <c r="D1" s="809" t="s">
        <v>855</v>
      </c>
      <c r="E1" s="809"/>
      <c r="F1" s="809"/>
      <c r="G1" s="809" t="s">
        <v>1098</v>
      </c>
      <c r="H1" s="809"/>
      <c r="I1" s="809"/>
      <c r="J1" s="809"/>
      <c r="K1" s="93"/>
      <c r="L1" s="810" t="s">
        <v>1102</v>
      </c>
      <c r="M1" s="811"/>
      <c r="N1" s="811"/>
      <c r="O1" s="811"/>
      <c r="P1" s="811"/>
      <c r="Q1" s="811"/>
      <c r="R1" s="811"/>
      <c r="S1" s="811"/>
      <c r="T1" s="811"/>
      <c r="U1" s="811"/>
    </row>
    <row r="2" spans="1:36" s="95" customFormat="1" ht="68.25" customHeight="1">
      <c r="A2" s="232" t="s">
        <v>852</v>
      </c>
      <c r="B2" s="334" t="s">
        <v>857</v>
      </c>
      <c r="C2" s="234" t="s">
        <v>885</v>
      </c>
      <c r="D2" s="232" t="s">
        <v>1091</v>
      </c>
      <c r="E2" s="232" t="s">
        <v>1092</v>
      </c>
      <c r="F2" s="232" t="s">
        <v>1093</v>
      </c>
      <c r="G2" s="235" t="s">
        <v>1095</v>
      </c>
      <c r="H2" s="235" t="s">
        <v>1096</v>
      </c>
      <c r="I2" s="235" t="s">
        <v>1097</v>
      </c>
      <c r="J2" s="235" t="s">
        <v>1099</v>
      </c>
      <c r="K2" s="335" t="s">
        <v>1290</v>
      </c>
      <c r="L2" s="235" t="s">
        <v>1101</v>
      </c>
      <c r="M2" s="235" t="s">
        <v>1012</v>
      </c>
      <c r="N2" s="235" t="s">
        <v>1100</v>
      </c>
      <c r="O2" s="235" t="s">
        <v>1007</v>
      </c>
      <c r="P2" s="235" t="s">
        <v>1005</v>
      </c>
      <c r="Q2" s="235" t="s">
        <v>1009</v>
      </c>
      <c r="R2" s="235" t="s">
        <v>146</v>
      </c>
      <c r="S2" s="235" t="s">
        <v>1008</v>
      </c>
      <c r="T2" s="235" t="s">
        <v>1006</v>
      </c>
      <c r="U2" s="235" t="s">
        <v>145</v>
      </c>
      <c r="V2" s="233" t="s">
        <v>893</v>
      </c>
      <c r="W2" s="236" t="s">
        <v>860</v>
      </c>
      <c r="X2" s="236" t="s">
        <v>856</v>
      </c>
      <c r="Y2" s="235" t="s">
        <v>861</v>
      </c>
      <c r="Z2" s="235" t="s">
        <v>862</v>
      </c>
      <c r="AA2" s="237" t="s">
        <v>850</v>
      </c>
      <c r="AB2" s="235" t="s">
        <v>851</v>
      </c>
      <c r="AC2" s="235" t="s">
        <v>859</v>
      </c>
      <c r="AD2" s="235" t="s">
        <v>892</v>
      </c>
      <c r="AE2" s="234" t="s">
        <v>1033</v>
      </c>
      <c r="AF2" s="238" t="s">
        <v>8</v>
      </c>
      <c r="AG2" s="376" t="s">
        <v>223</v>
      </c>
      <c r="AH2" s="238" t="s">
        <v>1004</v>
      </c>
      <c r="AJ2" s="96"/>
    </row>
    <row r="3" spans="1:36">
      <c r="A3" s="239" t="s">
        <v>890</v>
      </c>
      <c r="B3" s="239"/>
      <c r="C3" s="117" t="s">
        <v>883</v>
      </c>
      <c r="D3" s="393" t="s">
        <v>1094</v>
      </c>
      <c r="E3" s="393" t="s">
        <v>1094</v>
      </c>
      <c r="F3" s="393" t="s">
        <v>1094</v>
      </c>
      <c r="G3" s="394" t="s">
        <v>1094</v>
      </c>
      <c r="H3" s="394" t="s">
        <v>1094</v>
      </c>
      <c r="I3" s="394" t="s">
        <v>1094</v>
      </c>
      <c r="J3" s="394" t="s">
        <v>1094</v>
      </c>
      <c r="K3" s="240">
        <v>1.0000000000000001E-5</v>
      </c>
      <c r="L3" s="394" t="s">
        <v>1094</v>
      </c>
      <c r="M3" s="394" t="s">
        <v>1094</v>
      </c>
      <c r="N3" s="394" t="s">
        <v>1094</v>
      </c>
      <c r="O3" s="394" t="s">
        <v>1094</v>
      </c>
      <c r="P3" s="394" t="s">
        <v>1094</v>
      </c>
      <c r="Q3" s="394" t="s">
        <v>1094</v>
      </c>
      <c r="R3" s="394" t="s">
        <v>1094</v>
      </c>
      <c r="S3" s="394" t="s">
        <v>1094</v>
      </c>
      <c r="T3" s="394" t="s">
        <v>1094</v>
      </c>
      <c r="U3" s="394" t="s">
        <v>1094</v>
      </c>
      <c r="V3" s="239"/>
      <c r="W3" s="241"/>
      <c r="X3" s="241"/>
      <c r="Y3" s="240"/>
      <c r="Z3" s="242"/>
      <c r="AA3" s="243"/>
      <c r="AB3" s="240"/>
      <c r="AC3" s="240"/>
      <c r="AD3" s="240"/>
      <c r="AE3" s="244"/>
      <c r="AF3" s="240"/>
      <c r="AG3" s="246"/>
      <c r="AH3" s="246"/>
    </row>
    <row r="4" spans="1:36">
      <c r="A4" s="240" t="s">
        <v>854</v>
      </c>
      <c r="B4" s="247" t="s">
        <v>174</v>
      </c>
      <c r="C4" s="102" t="s">
        <v>75</v>
      </c>
      <c r="D4" s="397" t="s">
        <v>883</v>
      </c>
      <c r="E4" s="397" t="s">
        <v>1094</v>
      </c>
      <c r="F4" s="397" t="s">
        <v>883</v>
      </c>
      <c r="G4" s="396" t="s">
        <v>883</v>
      </c>
      <c r="H4" s="396" t="s">
        <v>883</v>
      </c>
      <c r="I4" s="396" t="s">
        <v>883</v>
      </c>
      <c r="J4" s="396" t="s">
        <v>1094</v>
      </c>
      <c r="K4" s="248">
        <f t="shared" ref="K4:K35" si="0">Y4/AA4</f>
        <v>1.1249999999999999E-3</v>
      </c>
      <c r="L4" s="401" t="s">
        <v>883</v>
      </c>
      <c r="M4" s="401" t="s">
        <v>1094</v>
      </c>
      <c r="N4" s="401" t="s">
        <v>883</v>
      </c>
      <c r="O4" s="401" t="s">
        <v>883</v>
      </c>
      <c r="P4" s="401" t="s">
        <v>883</v>
      </c>
      <c r="Q4" s="401" t="s">
        <v>883</v>
      </c>
      <c r="R4" s="401" t="s">
        <v>1094</v>
      </c>
      <c r="S4" s="401" t="s">
        <v>1094</v>
      </c>
      <c r="T4" s="401" t="s">
        <v>1094</v>
      </c>
      <c r="U4" s="401" t="s">
        <v>883</v>
      </c>
      <c r="V4" s="249">
        <f t="shared" ref="V4:V35" si="1">35/AC4</f>
        <v>38.115000000000002</v>
      </c>
      <c r="W4" s="250"/>
      <c r="X4" s="250"/>
      <c r="Y4" s="632">
        <f t="shared" ref="Y4:Y9" si="2">SUM(Z4/16)</f>
        <v>2.8125</v>
      </c>
      <c r="Z4" s="305">
        <v>45</v>
      </c>
      <c r="AA4" s="251">
        <v>2500</v>
      </c>
      <c r="AB4" s="250">
        <f t="shared" ref="AB4:AB35" si="3">AA4/43560</f>
        <v>5.73921028466483E-2</v>
      </c>
      <c r="AC4" s="250">
        <f t="shared" ref="AC4:AC35" si="4">AB4*16</f>
        <v>0.91827364554637281</v>
      </c>
      <c r="AD4" s="245"/>
      <c r="AE4" s="344" t="s">
        <v>1029</v>
      </c>
      <c r="AF4" s="252">
        <v>6</v>
      </c>
      <c r="AG4" s="253" t="s">
        <v>539</v>
      </c>
      <c r="AH4" s="254" t="s">
        <v>1052</v>
      </c>
    </row>
    <row r="5" spans="1:36" s="523" customFormat="1">
      <c r="A5" s="240" t="s">
        <v>854</v>
      </c>
      <c r="B5" s="255" t="s">
        <v>187</v>
      </c>
      <c r="C5" s="102" t="s">
        <v>88</v>
      </c>
      <c r="D5" s="397" t="s">
        <v>883</v>
      </c>
      <c r="E5" s="395" t="s">
        <v>883</v>
      </c>
      <c r="F5" s="395" t="s">
        <v>1094</v>
      </c>
      <c r="G5" s="396" t="s">
        <v>1094</v>
      </c>
      <c r="H5" s="396" t="s">
        <v>883</v>
      </c>
      <c r="I5" s="396" t="s">
        <v>1094</v>
      </c>
      <c r="J5" s="396" t="s">
        <v>883</v>
      </c>
      <c r="K5" s="248">
        <f t="shared" si="0"/>
        <v>5.8593749999999998E-5</v>
      </c>
      <c r="L5" s="401" t="s">
        <v>883</v>
      </c>
      <c r="M5" s="401" t="s">
        <v>1094</v>
      </c>
      <c r="N5" s="401" t="s">
        <v>1094</v>
      </c>
      <c r="O5" s="401" t="s">
        <v>1094</v>
      </c>
      <c r="P5" s="401" t="s">
        <v>1094</v>
      </c>
      <c r="Q5" s="401" t="s">
        <v>1094</v>
      </c>
      <c r="R5" s="401" t="s">
        <v>883</v>
      </c>
      <c r="S5" s="401" t="s">
        <v>883</v>
      </c>
      <c r="T5" s="401" t="s">
        <v>883</v>
      </c>
      <c r="U5" s="401" t="s">
        <v>1094</v>
      </c>
      <c r="V5" s="249">
        <f t="shared" si="1"/>
        <v>1.1910937500000001</v>
      </c>
      <c r="W5" s="250"/>
      <c r="X5" s="250"/>
      <c r="Y5" s="632">
        <f t="shared" si="2"/>
        <v>4.6875</v>
      </c>
      <c r="Z5" s="305">
        <v>75</v>
      </c>
      <c r="AA5" s="251">
        <v>80000</v>
      </c>
      <c r="AB5" s="250">
        <f t="shared" si="3"/>
        <v>1.8365472910927456</v>
      </c>
      <c r="AC5" s="250">
        <f t="shared" si="4"/>
        <v>29.38475665748393</v>
      </c>
      <c r="AD5" s="245"/>
      <c r="AE5" s="344" t="s">
        <v>1029</v>
      </c>
      <c r="AF5" s="252">
        <v>6</v>
      </c>
      <c r="AG5" s="253" t="s">
        <v>540</v>
      </c>
      <c r="AH5" s="254" t="s">
        <v>1061</v>
      </c>
      <c r="AI5" s="521"/>
      <c r="AJ5" s="522"/>
    </row>
    <row r="6" spans="1:36" s="523" customFormat="1">
      <c r="A6" s="240" t="s">
        <v>854</v>
      </c>
      <c r="B6" s="247" t="s">
        <v>120</v>
      </c>
      <c r="C6" s="102" t="s">
        <v>18</v>
      </c>
      <c r="D6" s="397" t="s">
        <v>883</v>
      </c>
      <c r="E6" s="397" t="s">
        <v>883</v>
      </c>
      <c r="F6" s="397" t="s">
        <v>1094</v>
      </c>
      <c r="G6" s="396" t="s">
        <v>1094</v>
      </c>
      <c r="H6" s="396" t="s">
        <v>1094</v>
      </c>
      <c r="I6" s="396" t="s">
        <v>1094</v>
      </c>
      <c r="J6" s="396" t="s">
        <v>883</v>
      </c>
      <c r="K6" s="248">
        <f t="shared" si="0"/>
        <v>2.5000000000000001E-5</v>
      </c>
      <c r="L6" s="401" t="s">
        <v>883</v>
      </c>
      <c r="M6" s="401" t="s">
        <v>883</v>
      </c>
      <c r="N6" s="401" t="s">
        <v>883</v>
      </c>
      <c r="O6" s="401" t="s">
        <v>883</v>
      </c>
      <c r="P6" s="401" t="s">
        <v>883</v>
      </c>
      <c r="Q6" s="401" t="s">
        <v>1094</v>
      </c>
      <c r="R6" s="401" t="s">
        <v>883</v>
      </c>
      <c r="S6" s="401" t="s">
        <v>883</v>
      </c>
      <c r="T6" s="401" t="s">
        <v>883</v>
      </c>
      <c r="U6" s="401" t="s">
        <v>883</v>
      </c>
      <c r="V6" s="249">
        <f t="shared" si="1"/>
        <v>1.9057500000000001</v>
      </c>
      <c r="W6" s="250"/>
      <c r="X6" s="250"/>
      <c r="Y6" s="632">
        <f t="shared" si="2"/>
        <v>1.25</v>
      </c>
      <c r="Z6" s="305">
        <v>20</v>
      </c>
      <c r="AA6" s="251">
        <v>50000</v>
      </c>
      <c r="AB6" s="250">
        <f t="shared" si="3"/>
        <v>1.1478420569329659</v>
      </c>
      <c r="AC6" s="250">
        <f t="shared" si="4"/>
        <v>18.365472910927455</v>
      </c>
      <c r="AD6" s="257"/>
      <c r="AE6" s="344" t="s">
        <v>1028</v>
      </c>
      <c r="AF6" s="252">
        <v>8</v>
      </c>
      <c r="AG6" s="253" t="s">
        <v>543</v>
      </c>
      <c r="AH6" s="254" t="s">
        <v>1053</v>
      </c>
      <c r="AI6" s="521"/>
      <c r="AJ6" s="522"/>
    </row>
    <row r="7" spans="1:36" s="523" customFormat="1">
      <c r="A7" s="240" t="s">
        <v>854</v>
      </c>
      <c r="B7" s="255" t="s">
        <v>125</v>
      </c>
      <c r="C7" s="102" t="s">
        <v>21</v>
      </c>
      <c r="D7" s="395" t="s">
        <v>1094</v>
      </c>
      <c r="E7" s="395" t="s">
        <v>883</v>
      </c>
      <c r="F7" s="397" t="s">
        <v>883</v>
      </c>
      <c r="G7" s="396" t="s">
        <v>1094</v>
      </c>
      <c r="H7" s="396" t="s">
        <v>1094</v>
      </c>
      <c r="I7" s="396" t="s">
        <v>883</v>
      </c>
      <c r="J7" s="396" t="s">
        <v>1094</v>
      </c>
      <c r="K7" s="248">
        <f t="shared" si="0"/>
        <v>4.6874999999999998E-4</v>
      </c>
      <c r="L7" s="401" t="s">
        <v>883</v>
      </c>
      <c r="M7" s="401" t="s">
        <v>1094</v>
      </c>
      <c r="N7" s="401" t="s">
        <v>1094</v>
      </c>
      <c r="O7" s="401" t="s">
        <v>883</v>
      </c>
      <c r="P7" s="401" t="s">
        <v>1094</v>
      </c>
      <c r="Q7" s="401" t="s">
        <v>883</v>
      </c>
      <c r="R7" s="401" t="s">
        <v>883</v>
      </c>
      <c r="S7" s="401" t="s">
        <v>1094</v>
      </c>
      <c r="T7" s="401" t="s">
        <v>883</v>
      </c>
      <c r="U7" s="401" t="s">
        <v>883</v>
      </c>
      <c r="V7" s="249">
        <f t="shared" si="1"/>
        <v>11.910937500000001</v>
      </c>
      <c r="W7" s="250"/>
      <c r="X7" s="250"/>
      <c r="Y7" s="632">
        <f t="shared" si="2"/>
        <v>3.75</v>
      </c>
      <c r="Z7" s="305">
        <v>60</v>
      </c>
      <c r="AA7" s="251">
        <v>8000</v>
      </c>
      <c r="AB7" s="250">
        <f t="shared" si="3"/>
        <v>0.18365472910927455</v>
      </c>
      <c r="AC7" s="250">
        <f t="shared" si="4"/>
        <v>2.9384756657483928</v>
      </c>
      <c r="AD7" s="257"/>
      <c r="AE7" s="258" t="s">
        <v>1028</v>
      </c>
      <c r="AF7" s="252">
        <v>10</v>
      </c>
      <c r="AG7" s="253" t="s">
        <v>540</v>
      </c>
      <c r="AH7" s="254" t="s">
        <v>1053</v>
      </c>
      <c r="AI7" s="521"/>
      <c r="AJ7" s="522"/>
    </row>
    <row r="8" spans="1:36" s="523" customFormat="1">
      <c r="A8" s="506" t="s">
        <v>854</v>
      </c>
      <c r="B8" s="507" t="s">
        <v>11232</v>
      </c>
      <c r="C8" s="508" t="s">
        <v>2284</v>
      </c>
      <c r="D8" s="509"/>
      <c r="E8" s="509"/>
      <c r="F8" s="509" t="s">
        <v>1094</v>
      </c>
      <c r="G8" s="510" t="s">
        <v>1094</v>
      </c>
      <c r="H8" s="510" t="s">
        <v>1094</v>
      </c>
      <c r="I8" s="510" t="s">
        <v>1094</v>
      </c>
      <c r="J8" s="510"/>
      <c r="K8" s="511">
        <f t="shared" si="0"/>
        <v>3.0048076923076925E-4</v>
      </c>
      <c r="L8" s="512" t="s">
        <v>1094</v>
      </c>
      <c r="M8" s="512" t="s">
        <v>1094</v>
      </c>
      <c r="N8" s="512" t="s">
        <v>1094</v>
      </c>
      <c r="O8" s="512" t="s">
        <v>1094</v>
      </c>
      <c r="P8" s="512" t="s">
        <v>1094</v>
      </c>
      <c r="Q8" s="512" t="s">
        <v>1094</v>
      </c>
      <c r="R8" s="512" t="s">
        <v>1094</v>
      </c>
      <c r="S8" s="512" t="s">
        <v>1094</v>
      </c>
      <c r="T8" s="512" t="s">
        <v>1094</v>
      </c>
      <c r="U8" s="512" t="s">
        <v>1094</v>
      </c>
      <c r="V8" s="513">
        <f t="shared" si="1"/>
        <v>1.2216346153846154</v>
      </c>
      <c r="W8" s="514"/>
      <c r="X8" s="514"/>
      <c r="Y8" s="633">
        <f t="shared" si="2"/>
        <v>23.4375</v>
      </c>
      <c r="Z8" s="634">
        <v>375</v>
      </c>
      <c r="AA8" s="515">
        <v>78000</v>
      </c>
      <c r="AB8" s="514">
        <f t="shared" si="3"/>
        <v>1.7906336088154271</v>
      </c>
      <c r="AC8" s="514">
        <f t="shared" si="4"/>
        <v>28.650137741046834</v>
      </c>
      <c r="AD8" s="517"/>
      <c r="AE8" s="526" t="s">
        <v>1029</v>
      </c>
      <c r="AF8" s="518">
        <v>4</v>
      </c>
      <c r="AG8" s="519" t="s">
        <v>541</v>
      </c>
      <c r="AH8" s="520"/>
      <c r="AI8" s="521"/>
      <c r="AJ8" s="522"/>
    </row>
    <row r="9" spans="1:36" s="523" customFormat="1">
      <c r="A9" s="240" t="s">
        <v>854</v>
      </c>
      <c r="B9" s="255" t="s">
        <v>193</v>
      </c>
      <c r="C9" s="102" t="s">
        <v>94</v>
      </c>
      <c r="D9" s="397" t="s">
        <v>883</v>
      </c>
      <c r="E9" s="395" t="s">
        <v>1094</v>
      </c>
      <c r="F9" s="395" t="s">
        <v>1094</v>
      </c>
      <c r="G9" s="396" t="s">
        <v>1094</v>
      </c>
      <c r="H9" s="396" t="s">
        <v>883</v>
      </c>
      <c r="I9" s="396" t="s">
        <v>1094</v>
      </c>
      <c r="J9" s="396" t="s">
        <v>883</v>
      </c>
      <c r="K9" s="248">
        <f t="shared" si="0"/>
        <v>7.4999999999999993E-5</v>
      </c>
      <c r="L9" s="401" t="s">
        <v>1094</v>
      </c>
      <c r="M9" s="401" t="s">
        <v>1094</v>
      </c>
      <c r="N9" s="401" t="s">
        <v>1094</v>
      </c>
      <c r="O9" s="401" t="s">
        <v>1094</v>
      </c>
      <c r="P9" s="401" t="s">
        <v>1094</v>
      </c>
      <c r="Q9" s="401" t="s">
        <v>1094</v>
      </c>
      <c r="R9" s="401" t="s">
        <v>1094</v>
      </c>
      <c r="S9" s="401" t="s">
        <v>1094</v>
      </c>
      <c r="T9" s="401" t="s">
        <v>1094</v>
      </c>
      <c r="U9" s="401" t="s">
        <v>1094</v>
      </c>
      <c r="V9" s="249">
        <f t="shared" si="1"/>
        <v>0.50819999999999999</v>
      </c>
      <c r="W9" s="250"/>
      <c r="X9" s="250"/>
      <c r="Y9" s="632">
        <f t="shared" si="2"/>
        <v>14.0625</v>
      </c>
      <c r="Z9" s="305">
        <v>225</v>
      </c>
      <c r="AA9" s="251">
        <v>187500</v>
      </c>
      <c r="AB9" s="250">
        <f t="shared" si="3"/>
        <v>4.3044077134986223</v>
      </c>
      <c r="AC9" s="250">
        <f t="shared" si="4"/>
        <v>68.870523415977956</v>
      </c>
      <c r="AD9" s="245"/>
      <c r="AE9" s="258" t="s">
        <v>1029</v>
      </c>
      <c r="AF9" s="252">
        <v>6</v>
      </c>
      <c r="AG9" s="253" t="s">
        <v>541</v>
      </c>
      <c r="AH9" s="259" t="s">
        <v>1055</v>
      </c>
      <c r="AI9" s="521"/>
      <c r="AJ9" s="522"/>
    </row>
    <row r="10" spans="1:36" s="523" customFormat="1">
      <c r="A10" s="240" t="s">
        <v>854</v>
      </c>
      <c r="B10" s="255" t="s">
        <v>277</v>
      </c>
      <c r="C10" s="102" t="s">
        <v>27</v>
      </c>
      <c r="D10" s="397" t="s">
        <v>883</v>
      </c>
      <c r="E10" s="395" t="s">
        <v>1094</v>
      </c>
      <c r="F10" s="395" t="s">
        <v>1094</v>
      </c>
      <c r="G10" s="396" t="s">
        <v>1094</v>
      </c>
      <c r="H10" s="396" t="s">
        <v>1094</v>
      </c>
      <c r="I10" s="396" t="s">
        <v>1094</v>
      </c>
      <c r="J10" s="396" t="s">
        <v>1094</v>
      </c>
      <c r="K10" s="248">
        <f t="shared" si="0"/>
        <v>1.4705882352941175E-4</v>
      </c>
      <c r="L10" s="401" t="s">
        <v>1094</v>
      </c>
      <c r="M10" s="401" t="s">
        <v>1094</v>
      </c>
      <c r="N10" s="401" t="s">
        <v>1094</v>
      </c>
      <c r="O10" s="401" t="s">
        <v>1094</v>
      </c>
      <c r="P10" s="401" t="s">
        <v>1094</v>
      </c>
      <c r="Q10" s="401" t="s">
        <v>1094</v>
      </c>
      <c r="R10" s="401" t="s">
        <v>1094</v>
      </c>
      <c r="S10" s="401" t="s">
        <v>1094</v>
      </c>
      <c r="T10" s="401" t="s">
        <v>1094</v>
      </c>
      <c r="U10" s="401" t="s">
        <v>1094</v>
      </c>
      <c r="V10" s="249">
        <f t="shared" si="1"/>
        <v>2.8025735294117644</v>
      </c>
      <c r="W10" s="250"/>
      <c r="X10" s="250"/>
      <c r="Y10" s="632">
        <v>5</v>
      </c>
      <c r="Z10" s="305">
        <v>75</v>
      </c>
      <c r="AA10" s="251">
        <v>34000</v>
      </c>
      <c r="AB10" s="250">
        <f t="shared" si="3"/>
        <v>0.78053259871441694</v>
      </c>
      <c r="AC10" s="250">
        <f t="shared" si="4"/>
        <v>12.488521579430671</v>
      </c>
      <c r="AD10" s="257"/>
      <c r="AE10" s="258" t="s">
        <v>1028</v>
      </c>
      <c r="AF10" s="252">
        <v>8</v>
      </c>
      <c r="AG10" s="253" t="s">
        <v>541</v>
      </c>
      <c r="AH10" s="254" t="s">
        <v>1055</v>
      </c>
      <c r="AI10" s="521"/>
      <c r="AJ10" s="522"/>
    </row>
    <row r="11" spans="1:36" s="104" customFormat="1">
      <c r="A11" s="240" t="s">
        <v>854</v>
      </c>
      <c r="B11" s="255" t="s">
        <v>278</v>
      </c>
      <c r="C11" s="102" t="s">
        <v>28</v>
      </c>
      <c r="D11" s="397" t="s">
        <v>883</v>
      </c>
      <c r="E11" s="395" t="s">
        <v>1094</v>
      </c>
      <c r="F11" s="395" t="s">
        <v>1094</v>
      </c>
      <c r="G11" s="396" t="s">
        <v>1094</v>
      </c>
      <c r="H11" s="396" t="s">
        <v>1094</v>
      </c>
      <c r="I11" s="396" t="s">
        <v>1094</v>
      </c>
      <c r="J11" s="396" t="s">
        <v>883</v>
      </c>
      <c r="K11" s="248">
        <f t="shared" si="0"/>
        <v>5.5147058823529411E-4</v>
      </c>
      <c r="L11" s="401" t="s">
        <v>1094</v>
      </c>
      <c r="M11" s="401" t="s">
        <v>1094</v>
      </c>
      <c r="N11" s="401" t="s">
        <v>1094</v>
      </c>
      <c r="O11" s="401" t="s">
        <v>1094</v>
      </c>
      <c r="P11" s="401" t="s">
        <v>1094</v>
      </c>
      <c r="Q11" s="401" t="s">
        <v>1094</v>
      </c>
      <c r="R11" s="401" t="s">
        <v>1094</v>
      </c>
      <c r="S11" s="401" t="s">
        <v>1094</v>
      </c>
      <c r="T11" s="401" t="s">
        <v>1094</v>
      </c>
      <c r="U11" s="401" t="s">
        <v>1094</v>
      </c>
      <c r="V11" s="249">
        <f t="shared" si="1"/>
        <v>5.6051470588235288</v>
      </c>
      <c r="W11" s="250"/>
      <c r="X11" s="250"/>
      <c r="Y11" s="632">
        <f t="shared" ref="Y11:Y18" si="5">SUM(Z11/16)</f>
        <v>9.375</v>
      </c>
      <c r="Z11" s="305">
        <v>150</v>
      </c>
      <c r="AA11" s="251">
        <v>17000</v>
      </c>
      <c r="AB11" s="250">
        <f t="shared" si="3"/>
        <v>0.39026629935720847</v>
      </c>
      <c r="AC11" s="250">
        <f t="shared" si="4"/>
        <v>6.2442607897153355</v>
      </c>
      <c r="AD11" s="257"/>
      <c r="AE11" s="258" t="s">
        <v>1028</v>
      </c>
      <c r="AF11" s="252">
        <v>10</v>
      </c>
      <c r="AG11" s="253" t="s">
        <v>541</v>
      </c>
      <c r="AH11" s="254" t="s">
        <v>1055</v>
      </c>
      <c r="AI11"/>
      <c r="AJ11" s="110"/>
    </row>
    <row r="12" spans="1:36">
      <c r="A12" s="240" t="s">
        <v>854</v>
      </c>
      <c r="B12" s="255" t="s">
        <v>119</v>
      </c>
      <c r="C12" s="102" t="s">
        <v>1064</v>
      </c>
      <c r="D12" s="395" t="s">
        <v>1094</v>
      </c>
      <c r="E12" s="395" t="s">
        <v>1094</v>
      </c>
      <c r="F12" s="395" t="s">
        <v>1094</v>
      </c>
      <c r="G12" s="394" t="s">
        <v>1094</v>
      </c>
      <c r="H12" s="394" t="s">
        <v>1094</v>
      </c>
      <c r="I12" s="394" t="s">
        <v>883</v>
      </c>
      <c r="J12" s="396" t="s">
        <v>883</v>
      </c>
      <c r="K12" s="248">
        <f t="shared" si="0"/>
        <v>4.375E-5</v>
      </c>
      <c r="L12" s="401" t="s">
        <v>1094</v>
      </c>
      <c r="M12" s="401" t="s">
        <v>1094</v>
      </c>
      <c r="N12" s="401" t="s">
        <v>1094</v>
      </c>
      <c r="O12" s="401" t="s">
        <v>1094</v>
      </c>
      <c r="P12" s="401" t="s">
        <v>1094</v>
      </c>
      <c r="Q12" s="401" t="s">
        <v>1094</v>
      </c>
      <c r="R12" s="401" t="s">
        <v>1094</v>
      </c>
      <c r="S12" s="401" t="s">
        <v>1094</v>
      </c>
      <c r="T12" s="401" t="s">
        <v>1094</v>
      </c>
      <c r="U12" s="401" t="s">
        <v>1094</v>
      </c>
      <c r="V12" s="249">
        <f t="shared" si="1"/>
        <v>9.5287500000000005</v>
      </c>
      <c r="W12" s="250"/>
      <c r="X12" s="250"/>
      <c r="Y12" s="632">
        <f t="shared" si="5"/>
        <v>0.4375</v>
      </c>
      <c r="Z12" s="305">
        <v>7</v>
      </c>
      <c r="AA12" s="251">
        <v>10000</v>
      </c>
      <c r="AB12" s="250">
        <f t="shared" si="3"/>
        <v>0.2295684113865932</v>
      </c>
      <c r="AC12" s="250">
        <f t="shared" si="4"/>
        <v>3.6730945821854912</v>
      </c>
      <c r="AD12" s="257"/>
      <c r="AE12" s="258" t="s">
        <v>1028</v>
      </c>
      <c r="AF12" s="252">
        <v>4</v>
      </c>
      <c r="AG12" s="253" t="s">
        <v>539</v>
      </c>
      <c r="AH12" s="254" t="s">
        <v>1053</v>
      </c>
      <c r="AI12" s="104"/>
    </row>
    <row r="13" spans="1:36">
      <c r="A13" s="240" t="s">
        <v>854</v>
      </c>
      <c r="B13" s="255" t="s">
        <v>170</v>
      </c>
      <c r="C13" s="102" t="s">
        <v>70</v>
      </c>
      <c r="D13" s="397" t="s">
        <v>883</v>
      </c>
      <c r="E13" s="397" t="s">
        <v>883</v>
      </c>
      <c r="F13" s="395" t="s">
        <v>1094</v>
      </c>
      <c r="G13" s="396" t="s">
        <v>1094</v>
      </c>
      <c r="H13" s="396" t="s">
        <v>1094</v>
      </c>
      <c r="I13" s="396" t="s">
        <v>1094</v>
      </c>
      <c r="J13" s="396" t="s">
        <v>883</v>
      </c>
      <c r="K13" s="248">
        <f t="shared" si="0"/>
        <v>2.5000000000000001E-3</v>
      </c>
      <c r="L13" s="401" t="s">
        <v>1094</v>
      </c>
      <c r="M13" s="401" t="s">
        <v>1094</v>
      </c>
      <c r="N13" s="401" t="s">
        <v>1094</v>
      </c>
      <c r="O13" s="401" t="s">
        <v>1094</v>
      </c>
      <c r="P13" s="401" t="s">
        <v>1094</v>
      </c>
      <c r="Q13" s="401" t="s">
        <v>1094</v>
      </c>
      <c r="R13" s="401" t="s">
        <v>1094</v>
      </c>
      <c r="S13" s="401" t="s">
        <v>1094</v>
      </c>
      <c r="T13" s="401" t="s">
        <v>1094</v>
      </c>
      <c r="U13" s="401" t="s">
        <v>1094</v>
      </c>
      <c r="V13" s="249">
        <f t="shared" si="1"/>
        <v>7.9406249999999998</v>
      </c>
      <c r="W13" s="250"/>
      <c r="X13" s="250"/>
      <c r="Y13" s="632">
        <f t="shared" si="5"/>
        <v>30</v>
      </c>
      <c r="Z13" s="305">
        <v>480</v>
      </c>
      <c r="AA13" s="251">
        <v>12000</v>
      </c>
      <c r="AB13" s="250">
        <f t="shared" si="3"/>
        <v>0.27548209366391185</v>
      </c>
      <c r="AC13" s="250">
        <f t="shared" si="4"/>
        <v>4.4077134986225897</v>
      </c>
      <c r="AD13" s="245"/>
      <c r="AE13" s="258" t="s">
        <v>1029</v>
      </c>
      <c r="AF13" s="252">
        <v>7</v>
      </c>
      <c r="AG13" s="253" t="s">
        <v>541</v>
      </c>
      <c r="AH13" s="254" t="s">
        <v>1055</v>
      </c>
      <c r="AI13" s="104"/>
    </row>
    <row r="14" spans="1:36">
      <c r="A14" s="240" t="s">
        <v>854</v>
      </c>
      <c r="B14" s="255" t="s">
        <v>122</v>
      </c>
      <c r="C14" s="102" t="s">
        <v>864</v>
      </c>
      <c r="D14" s="395" t="s">
        <v>1094</v>
      </c>
      <c r="E14" s="397" t="s">
        <v>883</v>
      </c>
      <c r="F14" s="397" t="s">
        <v>883</v>
      </c>
      <c r="G14" s="396" t="s">
        <v>1094</v>
      </c>
      <c r="H14" s="396" t="s">
        <v>1094</v>
      </c>
      <c r="I14" s="396" t="s">
        <v>883</v>
      </c>
      <c r="J14" s="396" t="s">
        <v>883</v>
      </c>
      <c r="K14" s="248">
        <f t="shared" si="0"/>
        <v>2.34375E-5</v>
      </c>
      <c r="L14" s="401" t="s">
        <v>883</v>
      </c>
      <c r="M14" s="401" t="s">
        <v>1094</v>
      </c>
      <c r="N14" s="401" t="s">
        <v>883</v>
      </c>
      <c r="O14" s="401" t="s">
        <v>883</v>
      </c>
      <c r="P14" s="401" t="s">
        <v>883</v>
      </c>
      <c r="Q14" s="401" t="s">
        <v>1094</v>
      </c>
      <c r="R14" s="401" t="s">
        <v>883</v>
      </c>
      <c r="S14" s="401" t="s">
        <v>883</v>
      </c>
      <c r="T14" s="401" t="s">
        <v>1094</v>
      </c>
      <c r="U14" s="401" t="s">
        <v>1094</v>
      </c>
      <c r="V14" s="249">
        <f t="shared" si="1"/>
        <v>2.3821875000000001</v>
      </c>
      <c r="W14" s="250"/>
      <c r="X14" s="250"/>
      <c r="Y14" s="632">
        <f t="shared" si="5"/>
        <v>0.9375</v>
      </c>
      <c r="Z14" s="305">
        <v>15</v>
      </c>
      <c r="AA14" s="251">
        <v>40000</v>
      </c>
      <c r="AB14" s="250">
        <f t="shared" si="3"/>
        <v>0.91827364554637281</v>
      </c>
      <c r="AC14" s="250">
        <f t="shared" si="4"/>
        <v>14.692378328741965</v>
      </c>
      <c r="AD14" s="257"/>
      <c r="AE14" s="258" t="s">
        <v>1028</v>
      </c>
      <c r="AF14" s="252">
        <v>8</v>
      </c>
      <c r="AG14" s="253" t="s">
        <v>539</v>
      </c>
      <c r="AH14" s="254" t="s">
        <v>1053</v>
      </c>
    </row>
    <row r="15" spans="1:36">
      <c r="A15" s="242" t="s">
        <v>854</v>
      </c>
      <c r="B15" s="255" t="s">
        <v>127</v>
      </c>
      <c r="C15" s="102" t="s">
        <v>23</v>
      </c>
      <c r="D15" s="395" t="s">
        <v>883</v>
      </c>
      <c r="E15" s="395" t="s">
        <v>883</v>
      </c>
      <c r="F15" s="395" t="s">
        <v>1094</v>
      </c>
      <c r="G15" s="396" t="s">
        <v>1094</v>
      </c>
      <c r="H15" s="396" t="s">
        <v>1094</v>
      </c>
      <c r="I15" s="396" t="s">
        <v>1094</v>
      </c>
      <c r="J15" s="396" t="s">
        <v>883</v>
      </c>
      <c r="K15" s="248">
        <f t="shared" si="0"/>
        <v>8.3705357142857144E-5</v>
      </c>
      <c r="L15" s="401" t="s">
        <v>1094</v>
      </c>
      <c r="M15" s="401" t="s">
        <v>1094</v>
      </c>
      <c r="N15" s="401" t="s">
        <v>1094</v>
      </c>
      <c r="O15" s="401" t="s">
        <v>1094</v>
      </c>
      <c r="P15" s="401" t="s">
        <v>1094</v>
      </c>
      <c r="Q15" s="401" t="s">
        <v>1094</v>
      </c>
      <c r="R15" s="401" t="s">
        <v>1094</v>
      </c>
      <c r="S15" s="401" t="s">
        <v>1094</v>
      </c>
      <c r="T15" s="401" t="s">
        <v>1094</v>
      </c>
      <c r="U15" s="401" t="s">
        <v>1094</v>
      </c>
      <c r="V15" s="249">
        <f t="shared" si="1"/>
        <v>0.34031250000000002</v>
      </c>
      <c r="W15" s="250"/>
      <c r="X15" s="250"/>
      <c r="Y15" s="632">
        <f t="shared" si="5"/>
        <v>23.4375</v>
      </c>
      <c r="Z15" s="305">
        <v>375</v>
      </c>
      <c r="AA15" s="251">
        <v>280000</v>
      </c>
      <c r="AB15" s="250">
        <f t="shared" si="3"/>
        <v>6.4279155188246095</v>
      </c>
      <c r="AC15" s="250">
        <f t="shared" si="4"/>
        <v>102.84664830119375</v>
      </c>
      <c r="AD15" s="257"/>
      <c r="AE15" s="258" t="s">
        <v>1029</v>
      </c>
      <c r="AF15" s="252">
        <v>5</v>
      </c>
      <c r="AG15" s="253" t="s">
        <v>540</v>
      </c>
      <c r="AH15" s="254" t="s">
        <v>1061</v>
      </c>
    </row>
    <row r="16" spans="1:36" s="104" customFormat="1">
      <c r="A16" s="240" t="s">
        <v>854</v>
      </c>
      <c r="B16" s="255" t="s">
        <v>166</v>
      </c>
      <c r="C16" s="102" t="s">
        <v>65</v>
      </c>
      <c r="D16" s="397" t="s">
        <v>883</v>
      </c>
      <c r="E16" s="397" t="s">
        <v>883</v>
      </c>
      <c r="F16" s="395" t="s">
        <v>1094</v>
      </c>
      <c r="G16" s="396" t="s">
        <v>1094</v>
      </c>
      <c r="H16" s="396" t="s">
        <v>1094</v>
      </c>
      <c r="I16" s="396" t="s">
        <v>1094</v>
      </c>
      <c r="J16" s="396" t="s">
        <v>883</v>
      </c>
      <c r="K16" s="248">
        <f t="shared" si="0"/>
        <v>3.1250000000000001E-4</v>
      </c>
      <c r="L16" s="401" t="s">
        <v>1094</v>
      </c>
      <c r="M16" s="401" t="s">
        <v>1094</v>
      </c>
      <c r="N16" s="401" t="s">
        <v>1094</v>
      </c>
      <c r="O16" s="401" t="s">
        <v>1094</v>
      </c>
      <c r="P16" s="401" t="s">
        <v>1094</v>
      </c>
      <c r="Q16" s="401" t="s">
        <v>1094</v>
      </c>
      <c r="R16" s="401" t="s">
        <v>1094</v>
      </c>
      <c r="S16" s="401" t="s">
        <v>1094</v>
      </c>
      <c r="T16" s="401" t="s">
        <v>1094</v>
      </c>
      <c r="U16" s="401" t="s">
        <v>1094</v>
      </c>
      <c r="V16" s="249">
        <f t="shared" si="1"/>
        <v>0.7940625</v>
      </c>
      <c r="W16" s="250"/>
      <c r="X16" s="250"/>
      <c r="Y16" s="632">
        <f t="shared" si="5"/>
        <v>37.5</v>
      </c>
      <c r="Z16" s="305">
        <v>600</v>
      </c>
      <c r="AA16" s="251">
        <v>120000</v>
      </c>
      <c r="AB16" s="250">
        <f t="shared" si="3"/>
        <v>2.7548209366391183</v>
      </c>
      <c r="AC16" s="250">
        <f t="shared" si="4"/>
        <v>44.077134986225893</v>
      </c>
      <c r="AD16" s="245"/>
      <c r="AE16" s="258" t="s">
        <v>1028</v>
      </c>
      <c r="AF16" s="252">
        <v>3</v>
      </c>
      <c r="AG16" s="253" t="s">
        <v>541</v>
      </c>
      <c r="AH16" s="254" t="s">
        <v>1055</v>
      </c>
      <c r="AI16"/>
      <c r="AJ16" s="110"/>
    </row>
    <row r="17" spans="1:34">
      <c r="A17" s="240" t="s">
        <v>854</v>
      </c>
      <c r="B17" s="247" t="s">
        <v>177</v>
      </c>
      <c r="C17" s="102" t="s">
        <v>80</v>
      </c>
      <c r="D17" s="397" t="s">
        <v>883</v>
      </c>
      <c r="E17" s="397" t="s">
        <v>883</v>
      </c>
      <c r="F17" s="397" t="s">
        <v>1094</v>
      </c>
      <c r="G17" s="396" t="s">
        <v>1094</v>
      </c>
      <c r="H17" s="396" t="s">
        <v>883</v>
      </c>
      <c r="I17" s="396" t="s">
        <v>1094</v>
      </c>
      <c r="J17" s="396" t="s">
        <v>883</v>
      </c>
      <c r="K17" s="248">
        <f t="shared" si="0"/>
        <v>2.9999999999999997E-4</v>
      </c>
      <c r="L17" s="401" t="s">
        <v>1094</v>
      </c>
      <c r="M17" s="401" t="s">
        <v>1094</v>
      </c>
      <c r="N17" s="401" t="s">
        <v>1094</v>
      </c>
      <c r="O17" s="401" t="s">
        <v>1094</v>
      </c>
      <c r="P17" s="401" t="s">
        <v>1094</v>
      </c>
      <c r="Q17" s="401" t="s">
        <v>1094</v>
      </c>
      <c r="R17" s="401" t="s">
        <v>1094</v>
      </c>
      <c r="S17" s="401" t="s">
        <v>1094</v>
      </c>
      <c r="T17" s="401" t="s">
        <v>1094</v>
      </c>
      <c r="U17" s="401" t="s">
        <v>1094</v>
      </c>
      <c r="V17" s="249">
        <f t="shared" si="1"/>
        <v>0.95287500000000003</v>
      </c>
      <c r="W17" s="250"/>
      <c r="X17" s="250"/>
      <c r="Y17" s="632">
        <f t="shared" si="5"/>
        <v>30</v>
      </c>
      <c r="Z17" s="305">
        <v>480</v>
      </c>
      <c r="AA17" s="251">
        <v>100000</v>
      </c>
      <c r="AB17" s="250">
        <f t="shared" si="3"/>
        <v>2.2956841138659319</v>
      </c>
      <c r="AC17" s="250">
        <f t="shared" si="4"/>
        <v>36.73094582185491</v>
      </c>
      <c r="AD17" s="245"/>
      <c r="AE17" s="258" t="s">
        <v>1029</v>
      </c>
      <c r="AF17" s="252">
        <v>3</v>
      </c>
      <c r="AG17" s="253" t="s">
        <v>544</v>
      </c>
      <c r="AH17" s="254" t="s">
        <v>1055</v>
      </c>
    </row>
    <row r="18" spans="1:34">
      <c r="A18" s="240" t="s">
        <v>854</v>
      </c>
      <c r="B18" s="255" t="s">
        <v>143</v>
      </c>
      <c r="C18" s="102" t="s">
        <v>43</v>
      </c>
      <c r="D18" s="397" t="s">
        <v>883</v>
      </c>
      <c r="E18" s="395" t="s">
        <v>883</v>
      </c>
      <c r="F18" s="395" t="s">
        <v>1094</v>
      </c>
      <c r="G18" s="396" t="s">
        <v>1094</v>
      </c>
      <c r="H18" s="396" t="s">
        <v>1094</v>
      </c>
      <c r="I18" s="396" t="s">
        <v>1094</v>
      </c>
      <c r="J18" s="396" t="s">
        <v>1094</v>
      </c>
      <c r="K18" s="248">
        <f t="shared" si="0"/>
        <v>3.1250000000000001E-4</v>
      </c>
      <c r="L18" s="401" t="s">
        <v>1094</v>
      </c>
      <c r="M18" s="401" t="s">
        <v>1094</v>
      </c>
      <c r="N18" s="401" t="s">
        <v>1094</v>
      </c>
      <c r="O18" s="401" t="s">
        <v>1094</v>
      </c>
      <c r="P18" s="401" t="s">
        <v>1094</v>
      </c>
      <c r="Q18" s="401" t="s">
        <v>1094</v>
      </c>
      <c r="R18" s="401" t="s">
        <v>1094</v>
      </c>
      <c r="S18" s="401" t="s">
        <v>1094</v>
      </c>
      <c r="T18" s="401" t="s">
        <v>1094</v>
      </c>
      <c r="U18" s="401" t="s">
        <v>1094</v>
      </c>
      <c r="V18" s="249">
        <f t="shared" si="1"/>
        <v>3.17625</v>
      </c>
      <c r="W18" s="260"/>
      <c r="X18" s="250"/>
      <c r="Y18" s="632">
        <f t="shared" si="5"/>
        <v>9.375</v>
      </c>
      <c r="Z18" s="305">
        <v>150</v>
      </c>
      <c r="AA18" s="251">
        <v>30000</v>
      </c>
      <c r="AB18" s="250">
        <f t="shared" si="3"/>
        <v>0.68870523415977958</v>
      </c>
      <c r="AC18" s="250">
        <f t="shared" si="4"/>
        <v>11.019283746556473</v>
      </c>
      <c r="AD18" s="245"/>
      <c r="AE18" s="258" t="s">
        <v>1029</v>
      </c>
      <c r="AF18" s="252">
        <v>5</v>
      </c>
      <c r="AG18" s="253" t="s">
        <v>541</v>
      </c>
      <c r="AH18" s="254" t="s">
        <v>1055</v>
      </c>
    </row>
    <row r="19" spans="1:34">
      <c r="A19" s="506" t="s">
        <v>854</v>
      </c>
      <c r="B19" s="507" t="s">
        <v>11228</v>
      </c>
      <c r="C19" s="508" t="s">
        <v>1737</v>
      </c>
      <c r="D19" s="509" t="s">
        <v>883</v>
      </c>
      <c r="E19" s="509" t="s">
        <v>883</v>
      </c>
      <c r="F19" s="509" t="s">
        <v>1094</v>
      </c>
      <c r="G19" s="510" t="s">
        <v>1094</v>
      </c>
      <c r="H19" s="510" t="s">
        <v>1094</v>
      </c>
      <c r="I19" s="510" t="s">
        <v>1094</v>
      </c>
      <c r="J19" s="510" t="s">
        <v>883</v>
      </c>
      <c r="K19" s="248">
        <f t="shared" si="0"/>
        <v>1.25E-3</v>
      </c>
      <c r="L19" s="512" t="s">
        <v>883</v>
      </c>
      <c r="M19" s="512" t="s">
        <v>883</v>
      </c>
      <c r="N19" s="512" t="s">
        <v>1094</v>
      </c>
      <c r="O19" s="512" t="s">
        <v>883</v>
      </c>
      <c r="P19" s="512" t="s">
        <v>1094</v>
      </c>
      <c r="Q19" s="512" t="s">
        <v>883</v>
      </c>
      <c r="R19" s="512" t="s">
        <v>883</v>
      </c>
      <c r="S19" s="512" t="s">
        <v>883</v>
      </c>
      <c r="T19" s="512" t="s">
        <v>883</v>
      </c>
      <c r="U19" s="512" t="s">
        <v>883</v>
      </c>
      <c r="V19" s="513">
        <f t="shared" si="1"/>
        <v>2.3821875000000001</v>
      </c>
      <c r="W19" s="514"/>
      <c r="X19" s="514"/>
      <c r="Y19" s="633">
        <v>50</v>
      </c>
      <c r="Z19" s="634">
        <v>800</v>
      </c>
      <c r="AA19" s="515">
        <v>40000</v>
      </c>
      <c r="AB19" s="514">
        <f t="shared" si="3"/>
        <v>0.91827364554637281</v>
      </c>
      <c r="AC19" s="514">
        <f t="shared" si="4"/>
        <v>14.692378328741965</v>
      </c>
      <c r="AD19" s="517"/>
      <c r="AE19" s="517" t="s">
        <v>1029</v>
      </c>
      <c r="AF19" s="518">
        <v>10</v>
      </c>
      <c r="AG19" s="519" t="s">
        <v>541</v>
      </c>
      <c r="AH19" s="520"/>
    </row>
    <row r="20" spans="1:34">
      <c r="A20" s="240" t="s">
        <v>854</v>
      </c>
      <c r="B20" s="255" t="s">
        <v>159</v>
      </c>
      <c r="C20" s="102" t="s">
        <v>57</v>
      </c>
      <c r="D20" s="397" t="s">
        <v>883</v>
      </c>
      <c r="E20" s="395" t="s">
        <v>1094</v>
      </c>
      <c r="F20" s="395" t="s">
        <v>1094</v>
      </c>
      <c r="G20" s="396" t="s">
        <v>1094</v>
      </c>
      <c r="H20" s="396" t="s">
        <v>1094</v>
      </c>
      <c r="I20" s="396" t="s">
        <v>1094</v>
      </c>
      <c r="J20" s="396" t="s">
        <v>1094</v>
      </c>
      <c r="K20" s="248">
        <f t="shared" si="0"/>
        <v>1.3392857142857144E-4</v>
      </c>
      <c r="L20" s="401" t="s">
        <v>1094</v>
      </c>
      <c r="M20" s="401" t="s">
        <v>1094</v>
      </c>
      <c r="N20" s="401" t="s">
        <v>1094</v>
      </c>
      <c r="O20" s="401" t="s">
        <v>1094</v>
      </c>
      <c r="P20" s="401" t="s">
        <v>1094</v>
      </c>
      <c r="Q20" s="401" t="s">
        <v>1094</v>
      </c>
      <c r="R20" s="401" t="s">
        <v>1094</v>
      </c>
      <c r="S20" s="401" t="s">
        <v>1094</v>
      </c>
      <c r="T20" s="401" t="s">
        <v>1094</v>
      </c>
      <c r="U20" s="401" t="s">
        <v>1094</v>
      </c>
      <c r="V20" s="249">
        <f t="shared" si="1"/>
        <v>1.1343750000000001</v>
      </c>
      <c r="W20" s="250"/>
      <c r="X20" s="250"/>
      <c r="Y20" s="632">
        <f>SUM(Z20/16)</f>
        <v>11.25</v>
      </c>
      <c r="Z20" s="305">
        <v>180</v>
      </c>
      <c r="AA20" s="251">
        <v>84000</v>
      </c>
      <c r="AB20" s="250">
        <f t="shared" si="3"/>
        <v>1.9283746556473829</v>
      </c>
      <c r="AC20" s="250">
        <f t="shared" si="4"/>
        <v>30.853994490358126</v>
      </c>
      <c r="AD20" s="245"/>
      <c r="AE20" s="258" t="s">
        <v>1028</v>
      </c>
      <c r="AF20" s="252">
        <v>5</v>
      </c>
      <c r="AG20" s="253" t="s">
        <v>541</v>
      </c>
      <c r="AH20" s="254" t="s">
        <v>1055</v>
      </c>
    </row>
    <row r="21" spans="1:34">
      <c r="A21" s="240" t="s">
        <v>854</v>
      </c>
      <c r="B21" s="247" t="s">
        <v>160</v>
      </c>
      <c r="C21" s="102" t="s">
        <v>59</v>
      </c>
      <c r="D21" s="397" t="s">
        <v>883</v>
      </c>
      <c r="E21" s="397" t="s">
        <v>1094</v>
      </c>
      <c r="F21" s="397" t="s">
        <v>883</v>
      </c>
      <c r="G21" s="396" t="s">
        <v>883</v>
      </c>
      <c r="H21" s="396" t="s">
        <v>1094</v>
      </c>
      <c r="I21" s="396" t="s">
        <v>883</v>
      </c>
      <c r="J21" s="396" t="s">
        <v>1094</v>
      </c>
      <c r="K21" s="248">
        <f t="shared" si="0"/>
        <v>2.1052631578947368E-3</v>
      </c>
      <c r="L21" s="401" t="s">
        <v>1094</v>
      </c>
      <c r="M21" s="401" t="s">
        <v>1094</v>
      </c>
      <c r="N21" s="401" t="s">
        <v>1094</v>
      </c>
      <c r="O21" s="401" t="s">
        <v>1094</v>
      </c>
      <c r="P21" s="401" t="s">
        <v>1094</v>
      </c>
      <c r="Q21" s="401" t="s">
        <v>1094</v>
      </c>
      <c r="R21" s="401" t="s">
        <v>1094</v>
      </c>
      <c r="S21" s="401" t="s">
        <v>1094</v>
      </c>
      <c r="T21" s="401" t="s">
        <v>1094</v>
      </c>
      <c r="U21" s="401" t="s">
        <v>1094</v>
      </c>
      <c r="V21" s="249">
        <f t="shared" si="1"/>
        <v>5.0151315789473685</v>
      </c>
      <c r="W21" s="250"/>
      <c r="X21" s="250"/>
      <c r="Y21" s="632">
        <v>40</v>
      </c>
      <c r="Z21" s="305">
        <v>640</v>
      </c>
      <c r="AA21" s="251">
        <v>19000</v>
      </c>
      <c r="AB21" s="250">
        <f t="shared" si="3"/>
        <v>0.43617998163452709</v>
      </c>
      <c r="AC21" s="250">
        <f t="shared" si="4"/>
        <v>6.9788797061524335</v>
      </c>
      <c r="AD21" s="245"/>
      <c r="AE21" s="258" t="s">
        <v>1028</v>
      </c>
      <c r="AF21" s="252">
        <v>6</v>
      </c>
      <c r="AG21" s="253" t="s">
        <v>541</v>
      </c>
      <c r="AH21" s="254" t="s">
        <v>1055</v>
      </c>
    </row>
    <row r="22" spans="1:34">
      <c r="A22" s="506" t="s">
        <v>854</v>
      </c>
      <c r="B22" s="507" t="s">
        <v>11222</v>
      </c>
      <c r="C22" s="508" t="s">
        <v>1580</v>
      </c>
      <c r="D22" s="509" t="s">
        <v>883</v>
      </c>
      <c r="E22" s="509"/>
      <c r="F22" s="509" t="s">
        <v>1094</v>
      </c>
      <c r="G22" s="510" t="s">
        <v>1094</v>
      </c>
      <c r="H22" s="510" t="s">
        <v>1094</v>
      </c>
      <c r="I22" s="510" t="s">
        <v>1094</v>
      </c>
      <c r="J22" s="510" t="s">
        <v>883</v>
      </c>
      <c r="K22" s="248" t="e">
        <f t="shared" si="0"/>
        <v>#DIV/0!</v>
      </c>
      <c r="L22" s="512" t="s">
        <v>883</v>
      </c>
      <c r="M22" s="512" t="s">
        <v>1094</v>
      </c>
      <c r="N22" s="512" t="s">
        <v>1094</v>
      </c>
      <c r="O22" s="512" t="s">
        <v>1094</v>
      </c>
      <c r="P22" s="512" t="s">
        <v>1094</v>
      </c>
      <c r="Q22" s="512" t="s">
        <v>883</v>
      </c>
      <c r="R22" s="512" t="s">
        <v>1094</v>
      </c>
      <c r="S22" s="512" t="s">
        <v>1094</v>
      </c>
      <c r="T22" s="512" t="s">
        <v>883</v>
      </c>
      <c r="U22" s="512" t="s">
        <v>1094</v>
      </c>
      <c r="V22" s="513" t="e">
        <f t="shared" si="1"/>
        <v>#DIV/0!</v>
      </c>
      <c r="W22" s="514"/>
      <c r="X22" s="514"/>
      <c r="Y22" s="633">
        <f>SUM(Z22/16)</f>
        <v>0</v>
      </c>
      <c r="Z22" s="634">
        <v>0</v>
      </c>
      <c r="AA22" s="515"/>
      <c r="AB22" s="514">
        <f t="shared" si="3"/>
        <v>0</v>
      </c>
      <c r="AC22" s="514">
        <f t="shared" si="4"/>
        <v>0</v>
      </c>
      <c r="AD22" s="517"/>
      <c r="AE22" s="517"/>
      <c r="AF22" s="518">
        <v>8</v>
      </c>
      <c r="AG22" s="519" t="s">
        <v>541</v>
      </c>
      <c r="AH22" s="520"/>
    </row>
    <row r="23" spans="1:34">
      <c r="A23" s="240" t="s">
        <v>854</v>
      </c>
      <c r="B23" s="255" t="s">
        <v>179</v>
      </c>
      <c r="C23" s="102" t="s">
        <v>865</v>
      </c>
      <c r="D23" s="395" t="s">
        <v>1094</v>
      </c>
      <c r="E23" s="395" t="s">
        <v>1094</v>
      </c>
      <c r="F23" s="395" t="s">
        <v>883</v>
      </c>
      <c r="G23" s="396" t="s">
        <v>1094</v>
      </c>
      <c r="H23" s="396" t="s">
        <v>1094</v>
      </c>
      <c r="I23" s="396" t="s">
        <v>883</v>
      </c>
      <c r="J23" s="396" t="s">
        <v>883</v>
      </c>
      <c r="K23" s="248">
        <f t="shared" si="0"/>
        <v>2.4038461538461538E-5</v>
      </c>
      <c r="L23" s="401" t="s">
        <v>1094</v>
      </c>
      <c r="M23" s="401" t="s">
        <v>1094</v>
      </c>
      <c r="N23" s="401" t="s">
        <v>1094</v>
      </c>
      <c r="O23" s="401" t="s">
        <v>1094</v>
      </c>
      <c r="P23" s="401" t="s">
        <v>1094</v>
      </c>
      <c r="Q23" s="401" t="s">
        <v>1094</v>
      </c>
      <c r="R23" s="401" t="s">
        <v>1094</v>
      </c>
      <c r="S23" s="401" t="s">
        <v>1094</v>
      </c>
      <c r="T23" s="401" t="s">
        <v>1094</v>
      </c>
      <c r="U23" s="401" t="s">
        <v>1094</v>
      </c>
      <c r="V23" s="249">
        <f t="shared" si="1"/>
        <v>18.32451923076923</v>
      </c>
      <c r="W23" s="250"/>
      <c r="X23" s="250"/>
      <c r="Y23" s="632">
        <f>SUM(Z23/16)</f>
        <v>0.125</v>
      </c>
      <c r="Z23" s="305">
        <v>2</v>
      </c>
      <c r="AA23" s="251">
        <v>5200</v>
      </c>
      <c r="AB23" s="250">
        <f t="shared" si="3"/>
        <v>0.11937557392102846</v>
      </c>
      <c r="AC23" s="250">
        <f t="shared" si="4"/>
        <v>1.9100091827364554</v>
      </c>
      <c r="AD23" s="245"/>
      <c r="AE23" s="258" t="s">
        <v>1028</v>
      </c>
      <c r="AF23" s="252">
        <v>5</v>
      </c>
      <c r="AG23" s="253" t="s">
        <v>540</v>
      </c>
      <c r="AH23" s="254" t="s">
        <v>1053</v>
      </c>
    </row>
    <row r="24" spans="1:34">
      <c r="A24" s="240" t="s">
        <v>854</v>
      </c>
      <c r="B24" s="247" t="s">
        <v>194</v>
      </c>
      <c r="C24" s="102" t="s">
        <v>95</v>
      </c>
      <c r="D24" s="397" t="s">
        <v>883</v>
      </c>
      <c r="E24" s="397" t="s">
        <v>883</v>
      </c>
      <c r="F24" s="397" t="s">
        <v>1094</v>
      </c>
      <c r="G24" s="396" t="s">
        <v>1094</v>
      </c>
      <c r="H24" s="396" t="s">
        <v>883</v>
      </c>
      <c r="I24" s="396" t="s">
        <v>1094</v>
      </c>
      <c r="J24" s="396" t="s">
        <v>883</v>
      </c>
      <c r="K24" s="248">
        <f t="shared" si="0"/>
        <v>5.3333333333333333E-5</v>
      </c>
      <c r="L24" s="401" t="s">
        <v>883</v>
      </c>
      <c r="M24" s="401" t="s">
        <v>1094</v>
      </c>
      <c r="N24" s="401" t="s">
        <v>1094</v>
      </c>
      <c r="O24" s="401" t="s">
        <v>883</v>
      </c>
      <c r="P24" s="401" t="s">
        <v>1094</v>
      </c>
      <c r="Q24" s="401" t="s">
        <v>883</v>
      </c>
      <c r="R24" s="401" t="s">
        <v>1094</v>
      </c>
      <c r="S24" s="401" t="s">
        <v>1094</v>
      </c>
      <c r="T24" s="401" t="s">
        <v>883</v>
      </c>
      <c r="U24" s="401" t="s">
        <v>883</v>
      </c>
      <c r="V24" s="249">
        <f t="shared" si="1"/>
        <v>0.12705</v>
      </c>
      <c r="W24" s="250"/>
      <c r="X24" s="250"/>
      <c r="Y24" s="632">
        <f>SUM(Z24/16)</f>
        <v>40</v>
      </c>
      <c r="Z24" s="305">
        <v>640</v>
      </c>
      <c r="AA24" s="251">
        <v>750000</v>
      </c>
      <c r="AB24" s="250">
        <f t="shared" si="3"/>
        <v>17.217630853994489</v>
      </c>
      <c r="AC24" s="250">
        <f t="shared" si="4"/>
        <v>275.48209366391183</v>
      </c>
      <c r="AD24" s="245"/>
      <c r="AE24" s="258" t="s">
        <v>1028</v>
      </c>
      <c r="AF24" s="252">
        <v>7</v>
      </c>
      <c r="AG24" s="253" t="s">
        <v>545</v>
      </c>
      <c r="AH24" s="259" t="s">
        <v>1055</v>
      </c>
    </row>
    <row r="25" spans="1:34">
      <c r="A25" s="506" t="s">
        <v>854</v>
      </c>
      <c r="B25" s="517" t="s">
        <v>11184</v>
      </c>
      <c r="C25" s="562" t="s">
        <v>11185</v>
      </c>
      <c r="D25" s="506" t="s">
        <v>883</v>
      </c>
      <c r="E25" s="506" t="s">
        <v>1094</v>
      </c>
      <c r="F25" s="506" t="s">
        <v>1094</v>
      </c>
      <c r="G25" s="506" t="s">
        <v>883</v>
      </c>
      <c r="H25" s="506" t="s">
        <v>883</v>
      </c>
      <c r="I25" s="506" t="s">
        <v>883</v>
      </c>
      <c r="J25" s="506" t="s">
        <v>1094</v>
      </c>
      <c r="K25" s="511">
        <f t="shared" si="0"/>
        <v>5.6603773584905656E-3</v>
      </c>
      <c r="L25" s="506" t="s">
        <v>883</v>
      </c>
      <c r="M25" s="506" t="s">
        <v>883</v>
      </c>
      <c r="N25" s="506" t="s">
        <v>1094</v>
      </c>
      <c r="O25" s="506" t="s">
        <v>883</v>
      </c>
      <c r="P25" s="506" t="s">
        <v>1094</v>
      </c>
      <c r="Q25" s="506" t="s">
        <v>883</v>
      </c>
      <c r="R25" s="506" t="s">
        <v>883</v>
      </c>
      <c r="S25" s="506" t="s">
        <v>1094</v>
      </c>
      <c r="T25" s="506" t="s">
        <v>883</v>
      </c>
      <c r="U25" s="506" t="s">
        <v>883</v>
      </c>
      <c r="V25" s="513">
        <f t="shared" si="1"/>
        <v>17.97877358490566</v>
      </c>
      <c r="W25" s="566"/>
      <c r="X25" s="566"/>
      <c r="Y25" s="633">
        <v>30</v>
      </c>
      <c r="Z25" s="633">
        <v>480</v>
      </c>
      <c r="AA25" s="570">
        <v>5300</v>
      </c>
      <c r="AB25" s="514">
        <f t="shared" si="3"/>
        <v>0.1216712580348944</v>
      </c>
      <c r="AC25" s="514">
        <f t="shared" si="4"/>
        <v>1.9467401285583104</v>
      </c>
      <c r="AD25" s="517"/>
      <c r="AE25" s="517" t="s">
        <v>1029</v>
      </c>
      <c r="AF25" s="529">
        <v>7</v>
      </c>
      <c r="AG25" s="519" t="s">
        <v>540</v>
      </c>
      <c r="AH25" s="517"/>
    </row>
    <row r="26" spans="1:34">
      <c r="A26" s="242" t="s">
        <v>854</v>
      </c>
      <c r="B26" s="247" t="s">
        <v>168</v>
      </c>
      <c r="C26" s="102" t="s">
        <v>68</v>
      </c>
      <c r="D26" s="397" t="s">
        <v>883</v>
      </c>
      <c r="E26" s="397" t="s">
        <v>883</v>
      </c>
      <c r="F26" s="397" t="s">
        <v>1094</v>
      </c>
      <c r="G26" s="396" t="s">
        <v>883</v>
      </c>
      <c r="H26" s="396" t="s">
        <v>883</v>
      </c>
      <c r="I26" s="396" t="s">
        <v>1094</v>
      </c>
      <c r="J26" s="396" t="s">
        <v>1094</v>
      </c>
      <c r="K26" s="248">
        <f t="shared" si="0"/>
        <v>2.8571428571428571E-3</v>
      </c>
      <c r="L26" s="401" t="s">
        <v>883</v>
      </c>
      <c r="M26" s="401" t="s">
        <v>1094</v>
      </c>
      <c r="N26" s="401" t="s">
        <v>1094</v>
      </c>
      <c r="O26" s="401" t="s">
        <v>883</v>
      </c>
      <c r="P26" s="401" t="s">
        <v>883</v>
      </c>
      <c r="Q26" s="401" t="s">
        <v>883</v>
      </c>
      <c r="R26" s="401" t="s">
        <v>1094</v>
      </c>
      <c r="S26" s="401" t="s">
        <v>1094</v>
      </c>
      <c r="T26" s="401" t="s">
        <v>883</v>
      </c>
      <c r="U26" s="401" t="s">
        <v>883</v>
      </c>
      <c r="V26" s="249">
        <f t="shared" si="1"/>
        <v>6.8062500000000004</v>
      </c>
      <c r="W26" s="250"/>
      <c r="X26" s="250"/>
      <c r="Y26" s="632">
        <f>SUM(Z26/16)</f>
        <v>40</v>
      </c>
      <c r="Z26" s="305">
        <v>640</v>
      </c>
      <c r="AA26" s="251">
        <v>14000</v>
      </c>
      <c r="AB26" s="250">
        <f t="shared" si="3"/>
        <v>0.32139577594123048</v>
      </c>
      <c r="AC26" s="250">
        <f t="shared" si="4"/>
        <v>5.1423324150596876</v>
      </c>
      <c r="AD26" s="245"/>
      <c r="AE26" s="258" t="s">
        <v>1028</v>
      </c>
      <c r="AF26" s="252">
        <v>8</v>
      </c>
      <c r="AG26" s="253" t="s">
        <v>541</v>
      </c>
      <c r="AH26" s="254" t="s">
        <v>1055</v>
      </c>
    </row>
    <row r="27" spans="1:34">
      <c r="A27" s="506" t="s">
        <v>854</v>
      </c>
      <c r="B27" s="517" t="s">
        <v>11182</v>
      </c>
      <c r="C27" s="562" t="s">
        <v>1794</v>
      </c>
      <c r="D27" s="506" t="s">
        <v>883</v>
      </c>
      <c r="E27" s="506" t="s">
        <v>1094</v>
      </c>
      <c r="F27" s="506" t="s">
        <v>1094</v>
      </c>
      <c r="G27" s="506" t="s">
        <v>1094</v>
      </c>
      <c r="H27" s="506" t="s">
        <v>1094</v>
      </c>
      <c r="I27" s="506" t="s">
        <v>883</v>
      </c>
      <c r="J27" s="506" t="s">
        <v>883</v>
      </c>
      <c r="K27" s="511">
        <f t="shared" si="0"/>
        <v>8.1081081081081077E-4</v>
      </c>
      <c r="L27" s="506" t="s">
        <v>883</v>
      </c>
      <c r="M27" s="506" t="s">
        <v>1094</v>
      </c>
      <c r="N27" s="506" t="s">
        <v>883</v>
      </c>
      <c r="O27" s="506" t="s">
        <v>1094</v>
      </c>
      <c r="P27" s="506" t="s">
        <v>883</v>
      </c>
      <c r="Q27" s="506" t="s">
        <v>1094</v>
      </c>
      <c r="R27" s="506" t="s">
        <v>1094</v>
      </c>
      <c r="S27" s="506" t="s">
        <v>883</v>
      </c>
      <c r="T27" s="506" t="s">
        <v>1094</v>
      </c>
      <c r="U27" s="506" t="s">
        <v>1094</v>
      </c>
      <c r="V27" s="513">
        <f t="shared" si="1"/>
        <v>2.575337837837838</v>
      </c>
      <c r="W27" s="566"/>
      <c r="X27" s="566"/>
      <c r="Y27" s="633">
        <v>30</v>
      </c>
      <c r="Z27" s="633">
        <v>480</v>
      </c>
      <c r="AA27" s="570">
        <v>37000</v>
      </c>
      <c r="AB27" s="514">
        <f t="shared" si="3"/>
        <v>0.84940312213039482</v>
      </c>
      <c r="AC27" s="514">
        <f t="shared" si="4"/>
        <v>13.590449954086317</v>
      </c>
      <c r="AD27" s="517"/>
      <c r="AE27" s="517" t="s">
        <v>1029</v>
      </c>
      <c r="AF27" s="506">
        <v>5</v>
      </c>
      <c r="AG27" s="519" t="s">
        <v>541</v>
      </c>
      <c r="AH27" s="517" t="s">
        <v>1060</v>
      </c>
    </row>
    <row r="28" spans="1:34">
      <c r="A28" s="240" t="s">
        <v>854</v>
      </c>
      <c r="B28" s="255" t="s">
        <v>195</v>
      </c>
      <c r="C28" s="102" t="s">
        <v>97</v>
      </c>
      <c r="D28" s="397" t="s">
        <v>883</v>
      </c>
      <c r="E28" s="395" t="s">
        <v>883</v>
      </c>
      <c r="F28" s="395" t="s">
        <v>1094</v>
      </c>
      <c r="G28" s="396" t="s">
        <v>1094</v>
      </c>
      <c r="H28" s="396" t="s">
        <v>1094</v>
      </c>
      <c r="I28" s="396" t="s">
        <v>1094</v>
      </c>
      <c r="J28" s="396" t="s">
        <v>1094</v>
      </c>
      <c r="K28" s="248">
        <f t="shared" si="0"/>
        <v>9.3749999999999992E-6</v>
      </c>
      <c r="L28" s="401" t="s">
        <v>883</v>
      </c>
      <c r="M28" s="401" t="s">
        <v>1094</v>
      </c>
      <c r="N28" s="401" t="s">
        <v>1094</v>
      </c>
      <c r="O28" s="401" t="s">
        <v>883</v>
      </c>
      <c r="P28" s="401" t="s">
        <v>1094</v>
      </c>
      <c r="Q28" s="401" t="s">
        <v>883</v>
      </c>
      <c r="R28" s="401" t="s">
        <v>883</v>
      </c>
      <c r="S28" s="401" t="s">
        <v>1094</v>
      </c>
      <c r="T28" s="401" t="s">
        <v>883</v>
      </c>
      <c r="U28" s="401" t="s">
        <v>883</v>
      </c>
      <c r="V28" s="249">
        <f t="shared" si="1"/>
        <v>9.5287499999999997E-2</v>
      </c>
      <c r="W28" s="250"/>
      <c r="X28" s="250"/>
      <c r="Y28" s="632">
        <f>SUM(Z28/16)</f>
        <v>9.375</v>
      </c>
      <c r="Z28" s="305">
        <v>150</v>
      </c>
      <c r="AA28" s="251">
        <v>1000000</v>
      </c>
      <c r="AB28" s="250">
        <f t="shared" si="3"/>
        <v>22.956841138659321</v>
      </c>
      <c r="AC28" s="250">
        <f t="shared" si="4"/>
        <v>367.30945821854914</v>
      </c>
      <c r="AD28" s="245"/>
      <c r="AE28" s="258" t="s">
        <v>1028</v>
      </c>
      <c r="AF28" s="252">
        <v>4</v>
      </c>
      <c r="AG28" s="253" t="s">
        <v>545</v>
      </c>
      <c r="AH28" s="254" t="s">
        <v>1055</v>
      </c>
    </row>
    <row r="29" spans="1:34">
      <c r="A29" s="240" t="s">
        <v>854</v>
      </c>
      <c r="B29" s="255" t="s">
        <v>178</v>
      </c>
      <c r="C29" s="102" t="s">
        <v>81</v>
      </c>
      <c r="D29" s="397" t="s">
        <v>883</v>
      </c>
      <c r="E29" s="395" t="s">
        <v>883</v>
      </c>
      <c r="F29" s="395" t="s">
        <v>1094</v>
      </c>
      <c r="G29" s="396" t="s">
        <v>1094</v>
      </c>
      <c r="H29" s="396" t="s">
        <v>1094</v>
      </c>
      <c r="I29" s="396" t="s">
        <v>1094</v>
      </c>
      <c r="J29" s="396" t="s">
        <v>883</v>
      </c>
      <c r="K29" s="248">
        <f t="shared" si="0"/>
        <v>5.8823529411764701E-4</v>
      </c>
      <c r="L29" s="401" t="s">
        <v>883</v>
      </c>
      <c r="M29" s="401" t="s">
        <v>1094</v>
      </c>
      <c r="N29" s="401" t="s">
        <v>1094</v>
      </c>
      <c r="O29" s="401" t="s">
        <v>1094</v>
      </c>
      <c r="P29" s="401" t="s">
        <v>1094</v>
      </c>
      <c r="Q29" s="401" t="s">
        <v>883</v>
      </c>
      <c r="R29" s="401" t="s">
        <v>1094</v>
      </c>
      <c r="S29" s="401" t="s">
        <v>1094</v>
      </c>
      <c r="T29" s="401" t="s">
        <v>883</v>
      </c>
      <c r="U29" s="401" t="s">
        <v>883</v>
      </c>
      <c r="V29" s="249">
        <f t="shared" si="1"/>
        <v>1.8683823529411765</v>
      </c>
      <c r="W29" s="250"/>
      <c r="X29" s="250"/>
      <c r="Y29" s="632">
        <f>SUM(Z29/16)</f>
        <v>30</v>
      </c>
      <c r="Z29" s="305">
        <v>480</v>
      </c>
      <c r="AA29" s="251">
        <v>51000</v>
      </c>
      <c r="AB29" s="250">
        <f t="shared" si="3"/>
        <v>1.1707988980716253</v>
      </c>
      <c r="AC29" s="250">
        <f t="shared" si="4"/>
        <v>18.732782369146005</v>
      </c>
      <c r="AD29" s="245"/>
      <c r="AE29" s="258" t="s">
        <v>1029</v>
      </c>
      <c r="AF29" s="252">
        <v>6</v>
      </c>
      <c r="AG29" s="253" t="s">
        <v>541</v>
      </c>
      <c r="AH29" s="254" t="s">
        <v>1055</v>
      </c>
    </row>
    <row r="30" spans="1:34">
      <c r="A30" s="240" t="s">
        <v>854</v>
      </c>
      <c r="B30" s="255" t="s">
        <v>212</v>
      </c>
      <c r="C30" s="102" t="s">
        <v>113</v>
      </c>
      <c r="D30" s="397" t="s">
        <v>883</v>
      </c>
      <c r="E30" s="397" t="s">
        <v>883</v>
      </c>
      <c r="F30" s="395" t="s">
        <v>1094</v>
      </c>
      <c r="G30" s="396" t="s">
        <v>883</v>
      </c>
      <c r="H30" s="396" t="s">
        <v>883</v>
      </c>
      <c r="I30" s="396" t="s">
        <v>1094</v>
      </c>
      <c r="J30" s="396" t="s">
        <v>883</v>
      </c>
      <c r="K30" s="248">
        <f t="shared" si="0"/>
        <v>1.171875E-3</v>
      </c>
      <c r="L30" s="401" t="s">
        <v>883</v>
      </c>
      <c r="M30" s="401" t="s">
        <v>1094</v>
      </c>
      <c r="N30" s="401" t="s">
        <v>883</v>
      </c>
      <c r="O30" s="401" t="s">
        <v>1094</v>
      </c>
      <c r="P30" s="401" t="s">
        <v>883</v>
      </c>
      <c r="Q30" s="401" t="s">
        <v>1094</v>
      </c>
      <c r="R30" s="401" t="s">
        <v>1094</v>
      </c>
      <c r="S30" s="401" t="s">
        <v>883</v>
      </c>
      <c r="T30" s="401" t="s">
        <v>1094</v>
      </c>
      <c r="U30" s="401" t="s">
        <v>1094</v>
      </c>
      <c r="V30" s="249">
        <f t="shared" si="1"/>
        <v>7.9406249999999998</v>
      </c>
      <c r="W30" s="260"/>
      <c r="X30" s="260"/>
      <c r="Y30" s="632">
        <f>SUM(Z30/16)</f>
        <v>14.0625</v>
      </c>
      <c r="Z30" s="305">
        <v>225</v>
      </c>
      <c r="AA30" s="251">
        <v>12000</v>
      </c>
      <c r="AB30" s="250">
        <f t="shared" si="3"/>
        <v>0.27548209366391185</v>
      </c>
      <c r="AC30" s="250">
        <f t="shared" si="4"/>
        <v>4.4077134986225897</v>
      </c>
      <c r="AD30" s="246"/>
      <c r="AE30" s="258" t="s">
        <v>1029</v>
      </c>
      <c r="AF30" s="252">
        <v>7</v>
      </c>
      <c r="AG30" s="253" t="s">
        <v>541</v>
      </c>
      <c r="AH30" s="259" t="s">
        <v>1055</v>
      </c>
    </row>
    <row r="31" spans="1:34">
      <c r="A31" s="557" t="s">
        <v>854</v>
      </c>
      <c r="B31" s="560" t="s">
        <v>11302</v>
      </c>
      <c r="C31" s="555" t="s">
        <v>11188</v>
      </c>
      <c r="D31" s="557" t="s">
        <v>883</v>
      </c>
      <c r="E31" s="557" t="s">
        <v>883</v>
      </c>
      <c r="F31" s="557" t="s">
        <v>1094</v>
      </c>
      <c r="G31" s="557" t="s">
        <v>1094</v>
      </c>
      <c r="H31" s="557" t="s">
        <v>883</v>
      </c>
      <c r="I31" s="557" t="s">
        <v>1094</v>
      </c>
      <c r="J31" s="557" t="s">
        <v>883</v>
      </c>
      <c r="K31" s="511">
        <f t="shared" si="0"/>
        <v>1.5789473684210526E-3</v>
      </c>
      <c r="L31" s="557" t="s">
        <v>883</v>
      </c>
      <c r="M31" s="557" t="s">
        <v>883</v>
      </c>
      <c r="N31" s="557" t="s">
        <v>883</v>
      </c>
      <c r="O31" s="557" t="s">
        <v>1094</v>
      </c>
      <c r="P31" s="557" t="s">
        <v>883</v>
      </c>
      <c r="Q31" s="557" t="s">
        <v>1094</v>
      </c>
      <c r="R31" s="557" t="s">
        <v>883</v>
      </c>
      <c r="S31" s="557" t="s">
        <v>883</v>
      </c>
      <c r="T31" s="557" t="s">
        <v>883</v>
      </c>
      <c r="U31" s="557" t="s">
        <v>883</v>
      </c>
      <c r="V31" s="513">
        <f t="shared" si="1"/>
        <v>5.0151315789473685</v>
      </c>
      <c r="W31" s="560"/>
      <c r="X31" s="560"/>
      <c r="Y31" s="635">
        <v>30</v>
      </c>
      <c r="Z31" s="635">
        <v>480</v>
      </c>
      <c r="AA31" s="560">
        <v>19000</v>
      </c>
      <c r="AB31" s="514">
        <f t="shared" si="3"/>
        <v>0.43617998163452709</v>
      </c>
      <c r="AC31" s="514">
        <f t="shared" si="4"/>
        <v>6.9788797061524335</v>
      </c>
      <c r="AD31" s="560"/>
      <c r="AE31" s="560" t="s">
        <v>1029</v>
      </c>
      <c r="AF31" s="557">
        <v>8</v>
      </c>
      <c r="AG31" s="560" t="s">
        <v>540</v>
      </c>
      <c r="AH31" s="560" t="s">
        <v>1060</v>
      </c>
    </row>
    <row r="32" spans="1:34">
      <c r="A32" s="242" t="s">
        <v>854</v>
      </c>
      <c r="B32" s="255" t="s">
        <v>135</v>
      </c>
      <c r="C32" s="102" t="s">
        <v>33</v>
      </c>
      <c r="D32" s="397" t="s">
        <v>883</v>
      </c>
      <c r="E32" s="397" t="s">
        <v>1094</v>
      </c>
      <c r="F32" s="395" t="s">
        <v>1094</v>
      </c>
      <c r="G32" s="396" t="s">
        <v>1094</v>
      </c>
      <c r="H32" s="396" t="s">
        <v>1094</v>
      </c>
      <c r="I32" s="396" t="s">
        <v>1094</v>
      </c>
      <c r="J32" s="396" t="s">
        <v>1094</v>
      </c>
      <c r="K32" s="248">
        <f t="shared" si="0"/>
        <v>5.1724137931034484E-4</v>
      </c>
      <c r="L32" s="401" t="s">
        <v>883</v>
      </c>
      <c r="M32" s="401" t="s">
        <v>1094</v>
      </c>
      <c r="N32" s="401" t="s">
        <v>883</v>
      </c>
      <c r="O32" s="401" t="s">
        <v>883</v>
      </c>
      <c r="P32" s="401" t="s">
        <v>883</v>
      </c>
      <c r="Q32" s="401" t="s">
        <v>1094</v>
      </c>
      <c r="R32" s="401" t="s">
        <v>1094</v>
      </c>
      <c r="S32" s="401" t="s">
        <v>1094</v>
      </c>
      <c r="T32" s="401" t="s">
        <v>1094</v>
      </c>
      <c r="U32" s="401" t="s">
        <v>883</v>
      </c>
      <c r="V32" s="249">
        <f t="shared" si="1"/>
        <v>1.6428879310344826</v>
      </c>
      <c r="W32" s="250"/>
      <c r="X32" s="250"/>
      <c r="Y32" s="632">
        <f>SUM(Z32/16)</f>
        <v>30</v>
      </c>
      <c r="Z32" s="305">
        <v>480</v>
      </c>
      <c r="AA32" s="251">
        <v>58000</v>
      </c>
      <c r="AB32" s="250">
        <f t="shared" si="3"/>
        <v>1.3314967860422406</v>
      </c>
      <c r="AC32" s="250">
        <f t="shared" si="4"/>
        <v>21.30394857667585</v>
      </c>
      <c r="AD32" s="257"/>
      <c r="AE32" s="258" t="s">
        <v>1028</v>
      </c>
      <c r="AF32" s="252">
        <v>5</v>
      </c>
      <c r="AG32" s="253" t="s">
        <v>541</v>
      </c>
      <c r="AH32" s="254" t="s">
        <v>1055</v>
      </c>
    </row>
    <row r="33" spans="1:34">
      <c r="A33" s="240" t="s">
        <v>854</v>
      </c>
      <c r="B33" s="255" t="s">
        <v>162</v>
      </c>
      <c r="C33" s="102" t="s">
        <v>62</v>
      </c>
      <c r="D33" s="397" t="s">
        <v>883</v>
      </c>
      <c r="E33" s="397" t="s">
        <v>883</v>
      </c>
      <c r="F33" s="395" t="s">
        <v>1094</v>
      </c>
      <c r="G33" s="396" t="s">
        <v>1094</v>
      </c>
      <c r="H33" s="396" t="s">
        <v>883</v>
      </c>
      <c r="I33" s="396" t="s">
        <v>1094</v>
      </c>
      <c r="J33" s="396" t="s">
        <v>883</v>
      </c>
      <c r="K33" s="248">
        <f t="shared" si="0"/>
        <v>3.8461538461538462E-4</v>
      </c>
      <c r="L33" s="401" t="s">
        <v>883</v>
      </c>
      <c r="M33" s="401" t="s">
        <v>1094</v>
      </c>
      <c r="N33" s="401" t="s">
        <v>883</v>
      </c>
      <c r="O33" s="401" t="s">
        <v>883</v>
      </c>
      <c r="P33" s="401" t="s">
        <v>1094</v>
      </c>
      <c r="Q33" s="401" t="s">
        <v>883</v>
      </c>
      <c r="R33" s="401" t="s">
        <v>883</v>
      </c>
      <c r="S33" s="401" t="s">
        <v>883</v>
      </c>
      <c r="T33" s="401" t="s">
        <v>883</v>
      </c>
      <c r="U33" s="401" t="s">
        <v>883</v>
      </c>
      <c r="V33" s="249">
        <f t="shared" si="1"/>
        <v>1.4659615384615385</v>
      </c>
      <c r="W33" s="250"/>
      <c r="X33" s="250"/>
      <c r="Y33" s="632">
        <f>SUM(Z33/16)</f>
        <v>25</v>
      </c>
      <c r="Z33" s="305">
        <v>400</v>
      </c>
      <c r="AA33" s="251">
        <v>65000</v>
      </c>
      <c r="AB33" s="250">
        <f t="shared" si="3"/>
        <v>1.4921946740128558</v>
      </c>
      <c r="AC33" s="250">
        <f t="shared" si="4"/>
        <v>23.875114784205692</v>
      </c>
      <c r="AD33" s="245"/>
      <c r="AE33" s="258" t="s">
        <v>1028</v>
      </c>
      <c r="AF33" s="252">
        <v>10</v>
      </c>
      <c r="AG33" s="253" t="s">
        <v>541</v>
      </c>
      <c r="AH33" s="254" t="s">
        <v>1055</v>
      </c>
    </row>
    <row r="34" spans="1:34">
      <c r="A34" s="240" t="s">
        <v>854</v>
      </c>
      <c r="B34" s="255" t="s">
        <v>279</v>
      </c>
      <c r="C34" s="102" t="s">
        <v>96</v>
      </c>
      <c r="D34" s="397" t="s">
        <v>883</v>
      </c>
      <c r="E34" s="395" t="s">
        <v>1094</v>
      </c>
      <c r="F34" s="395" t="s">
        <v>1094</v>
      </c>
      <c r="G34" s="396" t="s">
        <v>1094</v>
      </c>
      <c r="H34" s="396" t="s">
        <v>883</v>
      </c>
      <c r="I34" s="396" t="s">
        <v>1094</v>
      </c>
      <c r="J34" s="396" t="s">
        <v>883</v>
      </c>
      <c r="K34" s="248">
        <f t="shared" si="0"/>
        <v>5.8593750000000001E-6</v>
      </c>
      <c r="L34" s="401" t="s">
        <v>1094</v>
      </c>
      <c r="M34" s="401" t="s">
        <v>1094</v>
      </c>
      <c r="N34" s="401" t="s">
        <v>1094</v>
      </c>
      <c r="O34" s="401" t="s">
        <v>1094</v>
      </c>
      <c r="P34" s="401" t="s">
        <v>1094</v>
      </c>
      <c r="Q34" s="401" t="s">
        <v>1094</v>
      </c>
      <c r="R34" s="401" t="s">
        <v>1094</v>
      </c>
      <c r="S34" s="401" t="s">
        <v>1094</v>
      </c>
      <c r="T34" s="401" t="s">
        <v>1094</v>
      </c>
      <c r="U34" s="401" t="s">
        <v>1094</v>
      </c>
      <c r="V34" s="249">
        <f t="shared" si="1"/>
        <v>2.9777343750000001E-2</v>
      </c>
      <c r="W34" s="250"/>
      <c r="X34" s="250"/>
      <c r="Y34" s="632">
        <f>SUM(Z34/16)</f>
        <v>18.75</v>
      </c>
      <c r="Z34" s="305">
        <v>300</v>
      </c>
      <c r="AA34" s="251">
        <v>3200000</v>
      </c>
      <c r="AB34" s="250">
        <f t="shared" si="3"/>
        <v>73.461891643709819</v>
      </c>
      <c r="AC34" s="250">
        <f t="shared" si="4"/>
        <v>1175.3902662993571</v>
      </c>
      <c r="AD34" s="245"/>
      <c r="AE34" s="258" t="s">
        <v>15</v>
      </c>
      <c r="AF34" s="252">
        <v>2</v>
      </c>
      <c r="AG34" s="253" t="s">
        <v>545</v>
      </c>
      <c r="AH34" s="254" t="s">
        <v>1055</v>
      </c>
    </row>
    <row r="35" spans="1:34">
      <c r="A35" s="240" t="s">
        <v>854</v>
      </c>
      <c r="B35" s="255" t="s">
        <v>180</v>
      </c>
      <c r="C35" s="102" t="s">
        <v>82</v>
      </c>
      <c r="D35" s="397" t="s">
        <v>1094</v>
      </c>
      <c r="E35" s="395" t="s">
        <v>1094</v>
      </c>
      <c r="F35" s="395" t="s">
        <v>883</v>
      </c>
      <c r="G35" s="396" t="s">
        <v>883</v>
      </c>
      <c r="H35" s="396" t="s">
        <v>1094</v>
      </c>
      <c r="I35" s="396" t="s">
        <v>883</v>
      </c>
      <c r="J35" s="396" t="s">
        <v>1094</v>
      </c>
      <c r="K35" s="248">
        <f t="shared" si="0"/>
        <v>2.4671052631578948E-4</v>
      </c>
      <c r="L35" s="401" t="s">
        <v>1094</v>
      </c>
      <c r="M35" s="401" t="s">
        <v>1094</v>
      </c>
      <c r="N35" s="401" t="s">
        <v>1094</v>
      </c>
      <c r="O35" s="401" t="s">
        <v>1094</v>
      </c>
      <c r="P35" s="401" t="s">
        <v>1094</v>
      </c>
      <c r="Q35" s="401" t="s">
        <v>1094</v>
      </c>
      <c r="R35" s="401" t="s">
        <v>1094</v>
      </c>
      <c r="S35" s="401" t="s">
        <v>1094</v>
      </c>
      <c r="T35" s="401" t="s">
        <v>1094</v>
      </c>
      <c r="U35" s="401" t="s">
        <v>1094</v>
      </c>
      <c r="V35" s="249">
        <f t="shared" si="1"/>
        <v>12.537828947368421</v>
      </c>
      <c r="W35" s="250"/>
      <c r="X35" s="250"/>
      <c r="Y35" s="632">
        <f>SUM(Z35/16)</f>
        <v>1.875</v>
      </c>
      <c r="Z35" s="305">
        <v>30</v>
      </c>
      <c r="AA35" s="251">
        <v>7600</v>
      </c>
      <c r="AB35" s="250">
        <f t="shared" si="3"/>
        <v>0.17447199265381083</v>
      </c>
      <c r="AC35" s="250">
        <f t="shared" si="4"/>
        <v>2.7915518824609733</v>
      </c>
      <c r="AD35" s="245"/>
      <c r="AE35" s="258" t="s">
        <v>1028</v>
      </c>
      <c r="AF35" s="252">
        <v>5</v>
      </c>
      <c r="AG35" s="253" t="s">
        <v>540</v>
      </c>
      <c r="AH35" s="254" t="s">
        <v>1053</v>
      </c>
    </row>
    <row r="36" spans="1:34">
      <c r="A36" s="240" t="s">
        <v>854</v>
      </c>
      <c r="B36" s="255" t="s">
        <v>222</v>
      </c>
      <c r="C36" s="102" t="s">
        <v>866</v>
      </c>
      <c r="D36" s="397" t="s">
        <v>883</v>
      </c>
      <c r="E36" s="395" t="s">
        <v>1094</v>
      </c>
      <c r="F36" s="395" t="s">
        <v>1094</v>
      </c>
      <c r="G36" s="396" t="s">
        <v>1094</v>
      </c>
      <c r="H36" s="396" t="s">
        <v>1094</v>
      </c>
      <c r="I36" s="396" t="s">
        <v>1094</v>
      </c>
      <c r="J36" s="396" t="s">
        <v>883</v>
      </c>
      <c r="K36" s="248">
        <f t="shared" ref="K36:K67" si="6">Y36/AA36</f>
        <v>3.3783783783783786E-3</v>
      </c>
      <c r="L36" s="401" t="s">
        <v>883</v>
      </c>
      <c r="M36" s="401" t="s">
        <v>1094</v>
      </c>
      <c r="N36" s="401" t="s">
        <v>883</v>
      </c>
      <c r="O36" s="401" t="s">
        <v>883</v>
      </c>
      <c r="P36" s="401" t="s">
        <v>883</v>
      </c>
      <c r="Q36" s="401" t="s">
        <v>883</v>
      </c>
      <c r="R36" s="401" t="s">
        <v>1094</v>
      </c>
      <c r="S36" s="401" t="s">
        <v>1094</v>
      </c>
      <c r="T36" s="401" t="s">
        <v>1094</v>
      </c>
      <c r="U36" s="401" t="s">
        <v>883</v>
      </c>
      <c r="V36" s="249">
        <f t="shared" ref="V36:V67" si="7">35/AC36</f>
        <v>257.5337837837838</v>
      </c>
      <c r="W36" s="260"/>
      <c r="X36" s="260"/>
      <c r="Y36" s="632">
        <f>SUM(Z36/16)</f>
        <v>1.25</v>
      </c>
      <c r="Z36" s="305">
        <v>20</v>
      </c>
      <c r="AA36" s="251">
        <v>370</v>
      </c>
      <c r="AB36" s="250">
        <f t="shared" ref="AB36:AB67" si="8">AA36/43560</f>
        <v>8.4940312213039482E-3</v>
      </c>
      <c r="AC36" s="250">
        <f t="shared" ref="AC36:AC67" si="9">AB36*16</f>
        <v>0.13590449954086317</v>
      </c>
      <c r="AD36" s="246"/>
      <c r="AE36" s="258" t="s">
        <v>1028</v>
      </c>
      <c r="AF36" s="252">
        <v>3</v>
      </c>
      <c r="AG36" s="253" t="s">
        <v>539</v>
      </c>
      <c r="AH36" s="254" t="s">
        <v>1052</v>
      </c>
    </row>
    <row r="37" spans="1:34">
      <c r="A37" s="506" t="s">
        <v>854</v>
      </c>
      <c r="B37" s="507" t="s">
        <v>11173</v>
      </c>
      <c r="C37" s="508" t="s">
        <v>11174</v>
      </c>
      <c r="D37" s="524" t="s">
        <v>883</v>
      </c>
      <c r="E37" s="524" t="s">
        <v>1094</v>
      </c>
      <c r="F37" s="524" t="s">
        <v>883</v>
      </c>
      <c r="G37" s="525" t="s">
        <v>883</v>
      </c>
      <c r="H37" s="525" t="s">
        <v>1094</v>
      </c>
      <c r="I37" s="525" t="s">
        <v>1094</v>
      </c>
      <c r="J37" s="525" t="s">
        <v>883</v>
      </c>
      <c r="K37" s="511">
        <f t="shared" si="6"/>
        <v>6.4000000000000003E-3</v>
      </c>
      <c r="L37" s="511" t="s">
        <v>1094</v>
      </c>
      <c r="M37" s="511" t="s">
        <v>1094</v>
      </c>
      <c r="N37" s="511" t="s">
        <v>1094</v>
      </c>
      <c r="O37" s="511" t="s">
        <v>1094</v>
      </c>
      <c r="P37" s="511" t="s">
        <v>1094</v>
      </c>
      <c r="Q37" s="511" t="s">
        <v>1094</v>
      </c>
      <c r="R37" s="511" t="s">
        <v>1094</v>
      </c>
      <c r="S37" s="511" t="s">
        <v>1094</v>
      </c>
      <c r="T37" s="511" t="s">
        <v>1094</v>
      </c>
      <c r="U37" s="511" t="s">
        <v>1094</v>
      </c>
      <c r="V37" s="513">
        <f t="shared" si="7"/>
        <v>7.6230000000000002</v>
      </c>
      <c r="W37" s="514"/>
      <c r="X37" s="514"/>
      <c r="Y37" s="633">
        <v>80</v>
      </c>
      <c r="Z37" s="634">
        <v>1280</v>
      </c>
      <c r="AA37" s="515">
        <v>12500</v>
      </c>
      <c r="AB37" s="514">
        <f t="shared" si="8"/>
        <v>0.28696051423324148</v>
      </c>
      <c r="AC37" s="514">
        <f t="shared" si="9"/>
        <v>4.5913682277318637</v>
      </c>
      <c r="AD37" s="517"/>
      <c r="AE37" s="526" t="s">
        <v>1028</v>
      </c>
      <c r="AF37" s="527">
        <v>2</v>
      </c>
      <c r="AG37" s="520" t="s">
        <v>541</v>
      </c>
      <c r="AH37" s="520" t="s">
        <v>1060</v>
      </c>
    </row>
    <row r="38" spans="1:34">
      <c r="A38" s="506" t="s">
        <v>854</v>
      </c>
      <c r="B38" s="517" t="s">
        <v>11183</v>
      </c>
      <c r="C38" s="562" t="s">
        <v>2555</v>
      </c>
      <c r="D38" s="506" t="s">
        <v>883</v>
      </c>
      <c r="E38" s="506" t="s">
        <v>883</v>
      </c>
      <c r="F38" s="506" t="s">
        <v>1094</v>
      </c>
      <c r="G38" s="506" t="s">
        <v>1094</v>
      </c>
      <c r="H38" s="506" t="s">
        <v>1094</v>
      </c>
      <c r="I38" s="506" t="s">
        <v>1094</v>
      </c>
      <c r="J38" s="506" t="s">
        <v>883</v>
      </c>
      <c r="K38" s="511">
        <f t="shared" si="6"/>
        <v>1.8181818181818182E-3</v>
      </c>
      <c r="L38" s="506" t="s">
        <v>883</v>
      </c>
      <c r="M38" s="506" t="s">
        <v>1094</v>
      </c>
      <c r="N38" s="506" t="s">
        <v>883</v>
      </c>
      <c r="O38" s="506" t="s">
        <v>883</v>
      </c>
      <c r="P38" s="506" t="s">
        <v>883</v>
      </c>
      <c r="Q38" s="506" t="s">
        <v>883</v>
      </c>
      <c r="R38" s="506" t="s">
        <v>883</v>
      </c>
      <c r="S38" s="506" t="s">
        <v>1094</v>
      </c>
      <c r="T38" s="506" t="s">
        <v>883</v>
      </c>
      <c r="U38" s="506" t="s">
        <v>883</v>
      </c>
      <c r="V38" s="513">
        <f t="shared" si="7"/>
        <v>2.1656249999999999</v>
      </c>
      <c r="W38" s="566"/>
      <c r="X38" s="566"/>
      <c r="Y38" s="633">
        <v>80</v>
      </c>
      <c r="Z38" s="633">
        <v>1280</v>
      </c>
      <c r="AA38" s="570">
        <v>44000</v>
      </c>
      <c r="AB38" s="514">
        <f t="shared" si="8"/>
        <v>1.0101010101010102</v>
      </c>
      <c r="AC38" s="514">
        <f t="shared" si="9"/>
        <v>16.161616161616163</v>
      </c>
      <c r="AD38" s="517"/>
      <c r="AE38" s="517"/>
      <c r="AF38" s="506">
        <v>8</v>
      </c>
      <c r="AG38" s="519" t="s">
        <v>540</v>
      </c>
      <c r="AH38" s="517" t="s">
        <v>1054</v>
      </c>
    </row>
    <row r="39" spans="1:34">
      <c r="A39" s="240" t="s">
        <v>854</v>
      </c>
      <c r="B39" s="255" t="s">
        <v>208</v>
      </c>
      <c r="C39" s="102" t="s">
        <v>110</v>
      </c>
      <c r="D39" s="397" t="s">
        <v>883</v>
      </c>
      <c r="E39" s="395" t="s">
        <v>1094</v>
      </c>
      <c r="F39" s="395" t="s">
        <v>1094</v>
      </c>
      <c r="G39" s="396" t="s">
        <v>1094</v>
      </c>
      <c r="H39" s="396" t="s">
        <v>1094</v>
      </c>
      <c r="I39" s="396" t="s">
        <v>1094</v>
      </c>
      <c r="J39" s="396" t="s">
        <v>883</v>
      </c>
      <c r="K39" s="248">
        <f t="shared" si="6"/>
        <v>7.6923076923076919E-6</v>
      </c>
      <c r="L39" s="401" t="s">
        <v>1094</v>
      </c>
      <c r="M39" s="401" t="s">
        <v>1094</v>
      </c>
      <c r="N39" s="401" t="s">
        <v>1094</v>
      </c>
      <c r="O39" s="401" t="s">
        <v>1094</v>
      </c>
      <c r="P39" s="401" t="s">
        <v>1094</v>
      </c>
      <c r="Q39" s="401" t="s">
        <v>1094</v>
      </c>
      <c r="R39" s="401" t="s">
        <v>1094</v>
      </c>
      <c r="S39" s="401" t="s">
        <v>1094</v>
      </c>
      <c r="T39" s="401" t="s">
        <v>1094</v>
      </c>
      <c r="U39" s="401" t="s">
        <v>1094</v>
      </c>
      <c r="V39" s="249">
        <f t="shared" si="7"/>
        <v>0.73298076923076927</v>
      </c>
      <c r="W39" s="260"/>
      <c r="X39" s="260"/>
      <c r="Y39" s="632">
        <f t="shared" ref="Y39:Y46" si="10">SUM(Z39/16)</f>
        <v>1</v>
      </c>
      <c r="Z39" s="305">
        <v>16</v>
      </c>
      <c r="AA39" s="251">
        <v>130000</v>
      </c>
      <c r="AB39" s="250">
        <f t="shared" si="8"/>
        <v>2.9843893480257115</v>
      </c>
      <c r="AC39" s="250">
        <f t="shared" si="9"/>
        <v>47.750229568411385</v>
      </c>
      <c r="AD39" s="246"/>
      <c r="AE39" s="258" t="s">
        <v>1028</v>
      </c>
      <c r="AF39" s="252">
        <v>5</v>
      </c>
      <c r="AG39" s="253" t="s">
        <v>540</v>
      </c>
      <c r="AH39" s="254" t="s">
        <v>1059</v>
      </c>
    </row>
    <row r="40" spans="1:34">
      <c r="A40" s="240" t="s">
        <v>854</v>
      </c>
      <c r="B40" s="255" t="s">
        <v>188</v>
      </c>
      <c r="C40" s="102" t="s">
        <v>89</v>
      </c>
      <c r="D40" s="397" t="s">
        <v>883</v>
      </c>
      <c r="E40" s="395" t="s">
        <v>883</v>
      </c>
      <c r="F40" s="395" t="s">
        <v>1094</v>
      </c>
      <c r="G40" s="396" t="s">
        <v>1094</v>
      </c>
      <c r="H40" s="396" t="s">
        <v>1094</v>
      </c>
      <c r="I40" s="396" t="s">
        <v>1094</v>
      </c>
      <c r="J40" s="396" t="s">
        <v>1094</v>
      </c>
      <c r="K40" s="248">
        <f t="shared" si="6"/>
        <v>1.7578124999999999E-4</v>
      </c>
      <c r="L40" s="401" t="s">
        <v>1094</v>
      </c>
      <c r="M40" s="401" t="s">
        <v>1094</v>
      </c>
      <c r="N40" s="401" t="s">
        <v>1094</v>
      </c>
      <c r="O40" s="401" t="s">
        <v>1094</v>
      </c>
      <c r="P40" s="401" t="s">
        <v>1094</v>
      </c>
      <c r="Q40" s="401" t="s">
        <v>1094</v>
      </c>
      <c r="R40" s="401" t="s">
        <v>1094</v>
      </c>
      <c r="S40" s="401" t="s">
        <v>1094</v>
      </c>
      <c r="T40" s="401" t="s">
        <v>1094</v>
      </c>
      <c r="U40" s="401" t="s">
        <v>1094</v>
      </c>
      <c r="V40" s="249">
        <f t="shared" si="7"/>
        <v>0.59554687500000003</v>
      </c>
      <c r="W40" s="250"/>
      <c r="X40" s="250"/>
      <c r="Y40" s="632">
        <f t="shared" si="10"/>
        <v>28.125</v>
      </c>
      <c r="Z40" s="305">
        <v>450</v>
      </c>
      <c r="AA40" s="251">
        <v>160000</v>
      </c>
      <c r="AB40" s="250">
        <f t="shared" si="8"/>
        <v>3.6730945821854912</v>
      </c>
      <c r="AC40" s="250">
        <f t="shared" si="9"/>
        <v>58.76951331496786</v>
      </c>
      <c r="AD40" s="245"/>
      <c r="AE40" s="258" t="s">
        <v>1029</v>
      </c>
      <c r="AF40" s="252">
        <v>5</v>
      </c>
      <c r="AG40" s="253" t="s">
        <v>540</v>
      </c>
      <c r="AH40" s="254" t="s">
        <v>1061</v>
      </c>
    </row>
    <row r="41" spans="1:34">
      <c r="A41" s="240" t="s">
        <v>854</v>
      </c>
      <c r="B41" s="255" t="s">
        <v>1070</v>
      </c>
      <c r="C41" s="102" t="s">
        <v>1069</v>
      </c>
      <c r="D41" s="397" t="s">
        <v>883</v>
      </c>
      <c r="E41" s="395" t="s">
        <v>1094</v>
      </c>
      <c r="F41" s="395" t="s">
        <v>1094</v>
      </c>
      <c r="G41" s="396" t="s">
        <v>1094</v>
      </c>
      <c r="H41" s="396" t="s">
        <v>1094</v>
      </c>
      <c r="I41" s="396" t="s">
        <v>1094</v>
      </c>
      <c r="J41" s="396" t="s">
        <v>1094</v>
      </c>
      <c r="K41" s="248">
        <f t="shared" si="6"/>
        <v>7.4999999999999993E-5</v>
      </c>
      <c r="L41" s="401" t="s">
        <v>1094</v>
      </c>
      <c r="M41" s="401" t="s">
        <v>1094</v>
      </c>
      <c r="N41" s="401" t="s">
        <v>1094</v>
      </c>
      <c r="O41" s="401" t="s">
        <v>1094</v>
      </c>
      <c r="P41" s="401" t="s">
        <v>1094</v>
      </c>
      <c r="Q41" s="401" t="s">
        <v>1094</v>
      </c>
      <c r="R41" s="401" t="s">
        <v>1094</v>
      </c>
      <c r="S41" s="401" t="s">
        <v>1094</v>
      </c>
      <c r="T41" s="401" t="s">
        <v>1094</v>
      </c>
      <c r="U41" s="401" t="s">
        <v>1094</v>
      </c>
      <c r="V41" s="249">
        <f t="shared" si="7"/>
        <v>0.95287500000000003</v>
      </c>
      <c r="W41" s="250"/>
      <c r="X41" s="250"/>
      <c r="Y41" s="632">
        <f t="shared" si="10"/>
        <v>7.5</v>
      </c>
      <c r="Z41" s="305">
        <v>120</v>
      </c>
      <c r="AA41" s="251">
        <v>100000</v>
      </c>
      <c r="AB41" s="250">
        <f t="shared" si="8"/>
        <v>2.2956841138659319</v>
      </c>
      <c r="AC41" s="250">
        <f t="shared" si="9"/>
        <v>36.73094582185491</v>
      </c>
      <c r="AD41" s="245"/>
      <c r="AE41" s="258" t="s">
        <v>1028</v>
      </c>
      <c r="AF41" s="252">
        <v>3</v>
      </c>
      <c r="AG41" s="253" t="s">
        <v>541</v>
      </c>
      <c r="AH41" s="254" t="s">
        <v>1055</v>
      </c>
    </row>
    <row r="42" spans="1:34">
      <c r="A42" s="240" t="s">
        <v>854</v>
      </c>
      <c r="B42" s="255" t="s">
        <v>192</v>
      </c>
      <c r="C42" s="102" t="s">
        <v>93</v>
      </c>
      <c r="D42" s="399" t="s">
        <v>1094</v>
      </c>
      <c r="E42" s="399" t="s">
        <v>1094</v>
      </c>
      <c r="F42" s="399" t="s">
        <v>1094</v>
      </c>
      <c r="G42" s="400" t="s">
        <v>1094</v>
      </c>
      <c r="H42" s="400" t="s">
        <v>883</v>
      </c>
      <c r="I42" s="400" t="s">
        <v>1094</v>
      </c>
      <c r="J42" s="400" t="s">
        <v>883</v>
      </c>
      <c r="K42" s="248">
        <f t="shared" si="6"/>
        <v>1.171875E-3</v>
      </c>
      <c r="L42" s="402" t="s">
        <v>1094</v>
      </c>
      <c r="M42" s="402" t="s">
        <v>1094</v>
      </c>
      <c r="N42" s="402" t="s">
        <v>1094</v>
      </c>
      <c r="O42" s="402" t="s">
        <v>1094</v>
      </c>
      <c r="P42" s="402" t="s">
        <v>1094</v>
      </c>
      <c r="Q42" s="402" t="s">
        <v>1094</v>
      </c>
      <c r="R42" s="402" t="s">
        <v>1094</v>
      </c>
      <c r="S42" s="402" t="s">
        <v>1094</v>
      </c>
      <c r="T42" s="402" t="s">
        <v>1094</v>
      </c>
      <c r="U42" s="402" t="s">
        <v>1094</v>
      </c>
      <c r="V42" s="249">
        <f t="shared" si="7"/>
        <v>7.9406249999999998</v>
      </c>
      <c r="W42" s="250"/>
      <c r="X42" s="250"/>
      <c r="Y42" s="632">
        <f t="shared" si="10"/>
        <v>14.0625</v>
      </c>
      <c r="Z42" s="305">
        <v>225</v>
      </c>
      <c r="AA42" s="251">
        <v>12000</v>
      </c>
      <c r="AB42" s="250">
        <f t="shared" si="8"/>
        <v>0.27548209366391185</v>
      </c>
      <c r="AC42" s="250">
        <f t="shared" si="9"/>
        <v>4.4077134986225897</v>
      </c>
      <c r="AD42" s="245"/>
      <c r="AE42" s="258" t="s">
        <v>1028</v>
      </c>
      <c r="AF42" s="252">
        <v>0</v>
      </c>
      <c r="AG42" s="253" t="s">
        <v>540</v>
      </c>
      <c r="AH42" s="254"/>
    </row>
    <row r="43" spans="1:34">
      <c r="A43" s="240" t="s">
        <v>854</v>
      </c>
      <c r="B43" s="255" t="s">
        <v>280</v>
      </c>
      <c r="C43" s="102" t="s">
        <v>36</v>
      </c>
      <c r="D43" s="397" t="s">
        <v>883</v>
      </c>
      <c r="E43" s="395" t="s">
        <v>883</v>
      </c>
      <c r="F43" s="395" t="s">
        <v>1094</v>
      </c>
      <c r="G43" s="396" t="s">
        <v>1094</v>
      </c>
      <c r="H43" s="396" t="s">
        <v>1094</v>
      </c>
      <c r="I43" s="396" t="s">
        <v>1094</v>
      </c>
      <c r="J43" s="396" t="s">
        <v>883</v>
      </c>
      <c r="K43" s="248">
        <f t="shared" si="6"/>
        <v>4.4117647058823531E-4</v>
      </c>
      <c r="L43" s="401" t="s">
        <v>883</v>
      </c>
      <c r="M43" s="401" t="s">
        <v>1094</v>
      </c>
      <c r="N43" s="401" t="s">
        <v>883</v>
      </c>
      <c r="O43" s="401" t="s">
        <v>883</v>
      </c>
      <c r="P43" s="401" t="s">
        <v>883</v>
      </c>
      <c r="Q43" s="401" t="s">
        <v>883</v>
      </c>
      <c r="R43" s="401" t="s">
        <v>1094</v>
      </c>
      <c r="S43" s="401" t="s">
        <v>1094</v>
      </c>
      <c r="T43" s="401" t="s">
        <v>883</v>
      </c>
      <c r="U43" s="401" t="s">
        <v>883</v>
      </c>
      <c r="V43" s="249">
        <f t="shared" si="7"/>
        <v>5.6051470588235288</v>
      </c>
      <c r="W43" s="250"/>
      <c r="X43" s="250"/>
      <c r="Y43" s="632">
        <f t="shared" si="10"/>
        <v>7.5</v>
      </c>
      <c r="Z43" s="305">
        <v>120</v>
      </c>
      <c r="AA43" s="251">
        <v>17000</v>
      </c>
      <c r="AB43" s="250">
        <f t="shared" si="8"/>
        <v>0.39026629935720847</v>
      </c>
      <c r="AC43" s="250">
        <f t="shared" si="9"/>
        <v>6.2442607897153355</v>
      </c>
      <c r="AD43" s="257"/>
      <c r="AE43" s="258" t="s">
        <v>1029</v>
      </c>
      <c r="AF43" s="252">
        <v>8</v>
      </c>
      <c r="AG43" s="253" t="s">
        <v>541</v>
      </c>
      <c r="AH43" s="254" t="s">
        <v>1055</v>
      </c>
    </row>
    <row r="44" spans="1:34">
      <c r="A44" s="240" t="s">
        <v>854</v>
      </c>
      <c r="B44" s="255" t="s">
        <v>124</v>
      </c>
      <c r="C44" s="102" t="s">
        <v>20</v>
      </c>
      <c r="D44" s="395" t="s">
        <v>883</v>
      </c>
      <c r="E44" s="395" t="s">
        <v>1094</v>
      </c>
      <c r="F44" s="395" t="s">
        <v>1094</v>
      </c>
      <c r="G44" s="396" t="s">
        <v>1094</v>
      </c>
      <c r="H44" s="396" t="s">
        <v>1094</v>
      </c>
      <c r="I44" s="396" t="s">
        <v>1094</v>
      </c>
      <c r="J44" s="396" t="s">
        <v>1094</v>
      </c>
      <c r="K44" s="248">
        <f t="shared" si="6"/>
        <v>2.8124999999999998E-4</v>
      </c>
      <c r="L44" s="401" t="s">
        <v>883</v>
      </c>
      <c r="M44" s="401" t="s">
        <v>1094</v>
      </c>
      <c r="N44" s="401" t="s">
        <v>1094</v>
      </c>
      <c r="O44" s="401" t="s">
        <v>1094</v>
      </c>
      <c r="P44" s="401" t="s">
        <v>883</v>
      </c>
      <c r="Q44" s="401" t="s">
        <v>1094</v>
      </c>
      <c r="R44" s="401" t="s">
        <v>1094</v>
      </c>
      <c r="S44" s="401" t="s">
        <v>1094</v>
      </c>
      <c r="T44" s="401" t="s">
        <v>1094</v>
      </c>
      <c r="U44" s="401" t="s">
        <v>1094</v>
      </c>
      <c r="V44" s="249">
        <f t="shared" si="7"/>
        <v>9.5287500000000005</v>
      </c>
      <c r="W44" s="250"/>
      <c r="X44" s="250"/>
      <c r="Y44" s="632">
        <f t="shared" si="10"/>
        <v>2.8125</v>
      </c>
      <c r="Z44" s="305">
        <v>45</v>
      </c>
      <c r="AA44" s="251">
        <v>10000</v>
      </c>
      <c r="AB44" s="250">
        <f t="shared" si="8"/>
        <v>0.2295684113865932</v>
      </c>
      <c r="AC44" s="250">
        <f t="shared" si="9"/>
        <v>3.6730945821854912</v>
      </c>
      <c r="AD44" s="257"/>
      <c r="AE44" s="258" t="s">
        <v>1028</v>
      </c>
      <c r="AF44" s="252">
        <v>10</v>
      </c>
      <c r="AG44" s="253" t="s">
        <v>540</v>
      </c>
      <c r="AH44" s="254" t="s">
        <v>1011</v>
      </c>
    </row>
    <row r="45" spans="1:34">
      <c r="A45" s="240" t="s">
        <v>854</v>
      </c>
      <c r="B45" s="255" t="s">
        <v>134</v>
      </c>
      <c r="C45" s="102" t="s">
        <v>32</v>
      </c>
      <c r="D45" s="397" t="s">
        <v>883</v>
      </c>
      <c r="E45" s="395" t="s">
        <v>1094</v>
      </c>
      <c r="F45" s="395" t="s">
        <v>1094</v>
      </c>
      <c r="G45" s="396" t="s">
        <v>883</v>
      </c>
      <c r="H45" s="396" t="s">
        <v>1094</v>
      </c>
      <c r="I45" s="396" t="s">
        <v>883</v>
      </c>
      <c r="J45" s="396" t="s">
        <v>1094</v>
      </c>
      <c r="K45" s="248">
        <f t="shared" si="6"/>
        <v>8.1521739130434778E-4</v>
      </c>
      <c r="L45" s="401" t="s">
        <v>883</v>
      </c>
      <c r="M45" s="401" t="s">
        <v>1094</v>
      </c>
      <c r="N45" s="401" t="s">
        <v>1094</v>
      </c>
      <c r="O45" s="401" t="s">
        <v>883</v>
      </c>
      <c r="P45" s="401" t="s">
        <v>883</v>
      </c>
      <c r="Q45" s="401" t="s">
        <v>883</v>
      </c>
      <c r="R45" s="401" t="s">
        <v>883</v>
      </c>
      <c r="S45" s="401" t="s">
        <v>1094</v>
      </c>
      <c r="T45" s="401" t="s">
        <v>883</v>
      </c>
      <c r="U45" s="401" t="s">
        <v>883</v>
      </c>
      <c r="V45" s="249">
        <f t="shared" si="7"/>
        <v>4.1429347826086955</v>
      </c>
      <c r="W45" s="250"/>
      <c r="X45" s="250"/>
      <c r="Y45" s="632">
        <f t="shared" si="10"/>
        <v>18.75</v>
      </c>
      <c r="Z45" s="305">
        <v>300</v>
      </c>
      <c r="AA45" s="251">
        <v>23000</v>
      </c>
      <c r="AB45" s="250">
        <f t="shared" si="8"/>
        <v>0.52800734618916434</v>
      </c>
      <c r="AC45" s="250">
        <f t="shared" si="9"/>
        <v>8.4481175390266294</v>
      </c>
      <c r="AD45" s="257"/>
      <c r="AE45" s="258" t="s">
        <v>1028</v>
      </c>
      <c r="AF45" s="252">
        <v>10</v>
      </c>
      <c r="AG45" s="253" t="s">
        <v>541</v>
      </c>
      <c r="AH45" s="254" t="s">
        <v>1055</v>
      </c>
    </row>
    <row r="46" spans="1:34">
      <c r="A46" s="240" t="s">
        <v>854</v>
      </c>
      <c r="B46" s="255" t="s">
        <v>142</v>
      </c>
      <c r="C46" s="102" t="s">
        <v>42</v>
      </c>
      <c r="D46" s="395" t="s">
        <v>1094</v>
      </c>
      <c r="E46" s="397" t="s">
        <v>883</v>
      </c>
      <c r="F46" s="397" t="s">
        <v>883</v>
      </c>
      <c r="G46" s="396" t="s">
        <v>883</v>
      </c>
      <c r="H46" s="396" t="s">
        <v>1094</v>
      </c>
      <c r="I46" s="396" t="s">
        <v>883</v>
      </c>
      <c r="J46" s="396" t="s">
        <v>1094</v>
      </c>
      <c r="K46" s="248">
        <f t="shared" si="6"/>
        <v>1.0416666666666667E-3</v>
      </c>
      <c r="L46" s="401" t="s">
        <v>883</v>
      </c>
      <c r="M46" s="401" t="s">
        <v>1094</v>
      </c>
      <c r="N46" s="401" t="s">
        <v>883</v>
      </c>
      <c r="O46" s="401" t="s">
        <v>883</v>
      </c>
      <c r="P46" s="401" t="s">
        <v>883</v>
      </c>
      <c r="Q46" s="401" t="s">
        <v>883</v>
      </c>
      <c r="R46" s="401" t="s">
        <v>1094</v>
      </c>
      <c r="S46" s="401" t="s">
        <v>1094</v>
      </c>
      <c r="T46" s="401" t="s">
        <v>883</v>
      </c>
      <c r="U46" s="401" t="s">
        <v>883</v>
      </c>
      <c r="V46" s="249">
        <f t="shared" si="7"/>
        <v>5.2937500000000002</v>
      </c>
      <c r="W46" s="260"/>
      <c r="X46" s="250"/>
      <c r="Y46" s="632">
        <f t="shared" si="10"/>
        <v>18.75</v>
      </c>
      <c r="Z46" s="305">
        <v>300</v>
      </c>
      <c r="AA46" s="251">
        <v>18000</v>
      </c>
      <c r="AB46" s="250">
        <f t="shared" si="8"/>
        <v>0.41322314049586778</v>
      </c>
      <c r="AC46" s="250">
        <f t="shared" si="9"/>
        <v>6.6115702479338845</v>
      </c>
      <c r="AD46" s="245"/>
      <c r="AE46" s="258" t="s">
        <v>1029</v>
      </c>
      <c r="AF46" s="252">
        <v>4</v>
      </c>
      <c r="AG46" s="253" t="s">
        <v>541</v>
      </c>
      <c r="AH46" s="254" t="s">
        <v>1055</v>
      </c>
    </row>
    <row r="47" spans="1:34">
      <c r="A47" s="240" t="s">
        <v>854</v>
      </c>
      <c r="B47" s="247" t="s">
        <v>138</v>
      </c>
      <c r="C47" s="102" t="s">
        <v>37</v>
      </c>
      <c r="D47" s="397" t="s">
        <v>883</v>
      </c>
      <c r="E47" s="397" t="s">
        <v>1094</v>
      </c>
      <c r="F47" s="397" t="s">
        <v>883</v>
      </c>
      <c r="G47" s="396" t="s">
        <v>883</v>
      </c>
      <c r="H47" s="396" t="s">
        <v>883</v>
      </c>
      <c r="I47" s="396" t="s">
        <v>883</v>
      </c>
      <c r="J47" s="396" t="s">
        <v>1094</v>
      </c>
      <c r="K47" s="248">
        <f t="shared" si="6"/>
        <v>8.8235294117647062E-4</v>
      </c>
      <c r="L47" s="401" t="s">
        <v>883</v>
      </c>
      <c r="M47" s="401" t="s">
        <v>1094</v>
      </c>
      <c r="N47" s="401" t="s">
        <v>883</v>
      </c>
      <c r="O47" s="401" t="s">
        <v>1094</v>
      </c>
      <c r="P47" s="401" t="s">
        <v>1094</v>
      </c>
      <c r="Q47" s="401" t="s">
        <v>1094</v>
      </c>
      <c r="R47" s="401" t="s">
        <v>883</v>
      </c>
      <c r="S47" s="401" t="s">
        <v>883</v>
      </c>
      <c r="T47" s="401" t="s">
        <v>883</v>
      </c>
      <c r="U47" s="401" t="s">
        <v>883</v>
      </c>
      <c r="V47" s="249">
        <f t="shared" si="7"/>
        <v>0.93419117647058825</v>
      </c>
      <c r="W47" s="260"/>
      <c r="X47" s="250"/>
      <c r="Y47" s="632">
        <v>90</v>
      </c>
      <c r="Z47" s="636">
        <v>1440</v>
      </c>
      <c r="AA47" s="251">
        <v>102000</v>
      </c>
      <c r="AB47" s="250">
        <f t="shared" si="8"/>
        <v>2.3415977961432506</v>
      </c>
      <c r="AC47" s="250">
        <f t="shared" si="9"/>
        <v>37.465564738292009</v>
      </c>
      <c r="AD47" s="261"/>
      <c r="AE47" s="258" t="s">
        <v>1028</v>
      </c>
      <c r="AF47" s="252">
        <v>10</v>
      </c>
      <c r="AG47" s="253" t="s">
        <v>541</v>
      </c>
      <c r="AH47" s="254" t="s">
        <v>1055</v>
      </c>
    </row>
    <row r="48" spans="1:34">
      <c r="A48" s="240" t="s">
        <v>854</v>
      </c>
      <c r="B48" s="255" t="s">
        <v>281</v>
      </c>
      <c r="C48" s="102" t="s">
        <v>40</v>
      </c>
      <c r="D48" s="397" t="s">
        <v>883</v>
      </c>
      <c r="E48" s="395" t="s">
        <v>1094</v>
      </c>
      <c r="F48" s="397" t="s">
        <v>1094</v>
      </c>
      <c r="G48" s="396" t="s">
        <v>883</v>
      </c>
      <c r="H48" s="396" t="s">
        <v>1094</v>
      </c>
      <c r="I48" s="396" t="s">
        <v>883</v>
      </c>
      <c r="J48" s="396" t="s">
        <v>1094</v>
      </c>
      <c r="K48" s="248">
        <f t="shared" si="6"/>
        <v>1.6666666666666666E-2</v>
      </c>
      <c r="L48" s="401" t="s">
        <v>883</v>
      </c>
      <c r="M48" s="401" t="s">
        <v>1094</v>
      </c>
      <c r="N48" s="401" t="s">
        <v>1094</v>
      </c>
      <c r="O48" s="401" t="s">
        <v>883</v>
      </c>
      <c r="P48" s="401" t="s">
        <v>883</v>
      </c>
      <c r="Q48" s="401" t="s">
        <v>883</v>
      </c>
      <c r="R48" s="401" t="s">
        <v>1094</v>
      </c>
      <c r="S48" s="401" t="s">
        <v>1094</v>
      </c>
      <c r="T48" s="401" t="s">
        <v>883</v>
      </c>
      <c r="U48" s="401" t="s">
        <v>883</v>
      </c>
      <c r="V48" s="249">
        <f t="shared" si="7"/>
        <v>79.40625</v>
      </c>
      <c r="W48" s="260"/>
      <c r="X48" s="250"/>
      <c r="Y48" s="632">
        <f t="shared" ref="Y48:Y63" si="11">SUM(Z48/16)</f>
        <v>20</v>
      </c>
      <c r="Z48" s="305">
        <v>320</v>
      </c>
      <c r="AA48" s="251">
        <v>1200</v>
      </c>
      <c r="AB48" s="250">
        <f t="shared" si="8"/>
        <v>2.7548209366391185E-2</v>
      </c>
      <c r="AC48" s="250">
        <f t="shared" si="9"/>
        <v>0.44077134986225897</v>
      </c>
      <c r="AD48" s="245"/>
      <c r="AE48" s="258" t="s">
        <v>1028</v>
      </c>
      <c r="AF48" s="252">
        <v>7</v>
      </c>
      <c r="AG48" s="253" t="s">
        <v>541</v>
      </c>
      <c r="AH48" s="254" t="s">
        <v>1053</v>
      </c>
    </row>
    <row r="49" spans="1:34">
      <c r="A49" s="240" t="s">
        <v>854</v>
      </c>
      <c r="B49" s="255" t="s">
        <v>172</v>
      </c>
      <c r="C49" s="102" t="s">
        <v>72</v>
      </c>
      <c r="D49" s="395" t="s">
        <v>1094</v>
      </c>
      <c r="E49" s="397" t="s">
        <v>883</v>
      </c>
      <c r="F49" s="397" t="s">
        <v>883</v>
      </c>
      <c r="G49" s="396" t="s">
        <v>1094</v>
      </c>
      <c r="H49" s="396" t="s">
        <v>1094</v>
      </c>
      <c r="I49" s="396" t="s">
        <v>883</v>
      </c>
      <c r="J49" s="396" t="s">
        <v>883</v>
      </c>
      <c r="K49" s="248">
        <f t="shared" si="6"/>
        <v>9.6982758620689654E-4</v>
      </c>
      <c r="L49" s="401" t="s">
        <v>1094</v>
      </c>
      <c r="M49" s="401" t="s">
        <v>1094</v>
      </c>
      <c r="N49" s="401" t="s">
        <v>1094</v>
      </c>
      <c r="O49" s="401" t="s">
        <v>1094</v>
      </c>
      <c r="P49" s="401" t="s">
        <v>1094</v>
      </c>
      <c r="Q49" s="401" t="s">
        <v>1094</v>
      </c>
      <c r="R49" s="401" t="s">
        <v>1094</v>
      </c>
      <c r="S49" s="401" t="s">
        <v>1094</v>
      </c>
      <c r="T49" s="401" t="s">
        <v>1094</v>
      </c>
      <c r="U49" s="401" t="s">
        <v>1094</v>
      </c>
      <c r="V49" s="249">
        <f t="shared" si="7"/>
        <v>3.2857758620689652</v>
      </c>
      <c r="W49" s="250"/>
      <c r="X49" s="250"/>
      <c r="Y49" s="632">
        <f t="shared" si="11"/>
        <v>28.125</v>
      </c>
      <c r="Z49" s="305">
        <v>450</v>
      </c>
      <c r="AA49" s="251">
        <v>29000</v>
      </c>
      <c r="AB49" s="250">
        <f t="shared" si="8"/>
        <v>0.66574839302112032</v>
      </c>
      <c r="AC49" s="250">
        <f t="shared" si="9"/>
        <v>10.651974288337925</v>
      </c>
      <c r="AD49" s="245"/>
      <c r="AE49" s="258" t="s">
        <v>15</v>
      </c>
      <c r="AF49" s="252">
        <v>8</v>
      </c>
      <c r="AG49" s="253" t="s">
        <v>544</v>
      </c>
      <c r="AH49" s="254" t="s">
        <v>1055</v>
      </c>
    </row>
    <row r="50" spans="1:34">
      <c r="A50" s="240" t="s">
        <v>854</v>
      </c>
      <c r="B50" s="247" t="s">
        <v>153</v>
      </c>
      <c r="C50" s="102" t="s">
        <v>51</v>
      </c>
      <c r="D50" s="397" t="s">
        <v>883</v>
      </c>
      <c r="E50" s="397" t="s">
        <v>1094</v>
      </c>
      <c r="F50" s="397" t="s">
        <v>883</v>
      </c>
      <c r="G50" s="396" t="s">
        <v>1094</v>
      </c>
      <c r="H50" s="396" t="s">
        <v>1094</v>
      </c>
      <c r="I50" s="396" t="s">
        <v>883</v>
      </c>
      <c r="J50" s="396" t="s">
        <v>1094</v>
      </c>
      <c r="K50" s="248">
        <f t="shared" si="6"/>
        <v>1.1999999999999999E-3</v>
      </c>
      <c r="L50" s="401" t="s">
        <v>1094</v>
      </c>
      <c r="M50" s="401" t="s">
        <v>1094</v>
      </c>
      <c r="N50" s="401" t="s">
        <v>1094</v>
      </c>
      <c r="O50" s="401" t="s">
        <v>1094</v>
      </c>
      <c r="P50" s="401" t="s">
        <v>1094</v>
      </c>
      <c r="Q50" s="401" t="s">
        <v>1094</v>
      </c>
      <c r="R50" s="401" t="s">
        <v>1094</v>
      </c>
      <c r="S50" s="401" t="s">
        <v>1094</v>
      </c>
      <c r="T50" s="401" t="s">
        <v>1094</v>
      </c>
      <c r="U50" s="401" t="s">
        <v>1094</v>
      </c>
      <c r="V50" s="249">
        <f t="shared" si="7"/>
        <v>3.8115000000000001</v>
      </c>
      <c r="W50" s="250"/>
      <c r="X50" s="250"/>
      <c r="Y50" s="632">
        <f t="shared" si="11"/>
        <v>30</v>
      </c>
      <c r="Z50" s="305">
        <v>480</v>
      </c>
      <c r="AA50" s="251">
        <v>25000</v>
      </c>
      <c r="AB50" s="250">
        <f t="shared" si="8"/>
        <v>0.57392102846648296</v>
      </c>
      <c r="AC50" s="250">
        <f t="shared" si="9"/>
        <v>9.1827364554637274</v>
      </c>
      <c r="AD50" s="245"/>
      <c r="AE50" s="258" t="s">
        <v>1028</v>
      </c>
      <c r="AF50" s="252">
        <v>5</v>
      </c>
      <c r="AG50" s="253" t="s">
        <v>541</v>
      </c>
      <c r="AH50" s="254" t="s">
        <v>1055</v>
      </c>
    </row>
    <row r="51" spans="1:34">
      <c r="A51" s="240" t="s">
        <v>854</v>
      </c>
      <c r="B51" s="255" t="s">
        <v>214</v>
      </c>
      <c r="C51" s="102" t="s">
        <v>1068</v>
      </c>
      <c r="D51" s="397" t="s">
        <v>883</v>
      </c>
      <c r="E51" s="395" t="s">
        <v>883</v>
      </c>
      <c r="F51" s="395" t="s">
        <v>1094</v>
      </c>
      <c r="G51" s="396" t="s">
        <v>1094</v>
      </c>
      <c r="H51" s="396" t="s">
        <v>1094</v>
      </c>
      <c r="I51" s="396" t="s">
        <v>1094</v>
      </c>
      <c r="J51" s="396" t="s">
        <v>883</v>
      </c>
      <c r="K51" s="248">
        <f t="shared" si="6"/>
        <v>6.114130434782609E-6</v>
      </c>
      <c r="L51" s="401" t="s">
        <v>1094</v>
      </c>
      <c r="M51" s="401" t="s">
        <v>1094</v>
      </c>
      <c r="N51" s="401" t="s">
        <v>1094</v>
      </c>
      <c r="O51" s="401" t="s">
        <v>1094</v>
      </c>
      <c r="P51" s="401" t="s">
        <v>1094</v>
      </c>
      <c r="Q51" s="401" t="s">
        <v>1094</v>
      </c>
      <c r="R51" s="401" t="s">
        <v>1094</v>
      </c>
      <c r="S51" s="401" t="s">
        <v>1094</v>
      </c>
      <c r="T51" s="401" t="s">
        <v>1094</v>
      </c>
      <c r="U51" s="401" t="s">
        <v>1094</v>
      </c>
      <c r="V51" s="249">
        <f t="shared" si="7"/>
        <v>0.20714673913043477</v>
      </c>
      <c r="W51" s="260"/>
      <c r="X51" s="260"/>
      <c r="Y51" s="632">
        <f t="shared" si="11"/>
        <v>2.8125</v>
      </c>
      <c r="Z51" s="305">
        <v>45</v>
      </c>
      <c r="AA51" s="251">
        <v>460000</v>
      </c>
      <c r="AB51" s="250">
        <f t="shared" si="8"/>
        <v>10.560146923783288</v>
      </c>
      <c r="AC51" s="250">
        <f t="shared" si="9"/>
        <v>168.9623507805326</v>
      </c>
      <c r="AD51" s="246"/>
      <c r="AE51" s="258" t="s">
        <v>1028</v>
      </c>
      <c r="AF51" s="252">
        <v>1</v>
      </c>
      <c r="AG51" s="253" t="s">
        <v>541</v>
      </c>
      <c r="AH51" s="254" t="s">
        <v>1055</v>
      </c>
    </row>
    <row r="52" spans="1:34">
      <c r="A52" s="240" t="s">
        <v>854</v>
      </c>
      <c r="B52" s="255" t="s">
        <v>205</v>
      </c>
      <c r="C52" s="102" t="s">
        <v>107</v>
      </c>
      <c r="D52" s="395" t="s">
        <v>1094</v>
      </c>
      <c r="E52" s="397" t="s">
        <v>883</v>
      </c>
      <c r="F52" s="397" t="s">
        <v>883</v>
      </c>
      <c r="G52" s="396" t="s">
        <v>1094</v>
      </c>
      <c r="H52" s="396" t="s">
        <v>1094</v>
      </c>
      <c r="I52" s="396" t="s">
        <v>883</v>
      </c>
      <c r="J52" s="396" t="s">
        <v>883</v>
      </c>
      <c r="K52" s="248">
        <f t="shared" si="6"/>
        <v>6.2500000000000001E-4</v>
      </c>
      <c r="L52" s="401" t="s">
        <v>883</v>
      </c>
      <c r="M52" s="401" t="s">
        <v>883</v>
      </c>
      <c r="N52" s="401" t="s">
        <v>883</v>
      </c>
      <c r="O52" s="401" t="s">
        <v>883</v>
      </c>
      <c r="P52" s="401" t="s">
        <v>883</v>
      </c>
      <c r="Q52" s="401" t="s">
        <v>1094</v>
      </c>
      <c r="R52" s="401" t="s">
        <v>883</v>
      </c>
      <c r="S52" s="401" t="s">
        <v>883</v>
      </c>
      <c r="T52" s="401" t="s">
        <v>883</v>
      </c>
      <c r="U52" s="401" t="s">
        <v>883</v>
      </c>
      <c r="V52" s="249">
        <f t="shared" si="7"/>
        <v>12.705</v>
      </c>
      <c r="W52" s="260"/>
      <c r="X52" s="260"/>
      <c r="Y52" s="632">
        <f t="shared" si="11"/>
        <v>4.6875</v>
      </c>
      <c r="Z52" s="305">
        <v>75</v>
      </c>
      <c r="AA52" s="251">
        <v>7500</v>
      </c>
      <c r="AB52" s="250">
        <f t="shared" si="8"/>
        <v>0.17217630853994489</v>
      </c>
      <c r="AC52" s="250">
        <f t="shared" si="9"/>
        <v>2.7548209366391183</v>
      </c>
      <c r="AD52" s="246"/>
      <c r="AE52" s="258" t="s">
        <v>1028</v>
      </c>
      <c r="AF52" s="252">
        <v>5</v>
      </c>
      <c r="AG52" s="253" t="s">
        <v>540</v>
      </c>
      <c r="AH52" s="254" t="s">
        <v>1052</v>
      </c>
    </row>
    <row r="53" spans="1:34">
      <c r="A53" s="240" t="s">
        <v>854</v>
      </c>
      <c r="B53" s="255" t="s">
        <v>123</v>
      </c>
      <c r="C53" s="102" t="s">
        <v>19</v>
      </c>
      <c r="D53" s="395" t="s">
        <v>1094</v>
      </c>
      <c r="E53" s="397" t="s">
        <v>883</v>
      </c>
      <c r="F53" s="397" t="s">
        <v>883</v>
      </c>
      <c r="G53" s="396" t="s">
        <v>1094</v>
      </c>
      <c r="H53" s="396" t="s">
        <v>1094</v>
      </c>
      <c r="I53" s="396" t="s">
        <v>883</v>
      </c>
      <c r="J53" s="396" t="s">
        <v>883</v>
      </c>
      <c r="K53" s="248">
        <f t="shared" si="6"/>
        <v>1.4285714285714286E-3</v>
      </c>
      <c r="L53" s="401" t="s">
        <v>883</v>
      </c>
      <c r="M53" s="401" t="s">
        <v>1094</v>
      </c>
      <c r="N53" s="401" t="s">
        <v>883</v>
      </c>
      <c r="O53" s="401" t="s">
        <v>883</v>
      </c>
      <c r="P53" s="401" t="s">
        <v>883</v>
      </c>
      <c r="Q53" s="401" t="s">
        <v>1094</v>
      </c>
      <c r="R53" s="401" t="s">
        <v>883</v>
      </c>
      <c r="S53" s="401" t="s">
        <v>883</v>
      </c>
      <c r="T53" s="401" t="s">
        <v>1094</v>
      </c>
      <c r="U53" s="401" t="s">
        <v>1094</v>
      </c>
      <c r="V53" s="249">
        <f t="shared" si="7"/>
        <v>1.3612500000000001</v>
      </c>
      <c r="W53" s="250"/>
      <c r="X53" s="250"/>
      <c r="Y53" s="632">
        <f t="shared" si="11"/>
        <v>100</v>
      </c>
      <c r="Z53" s="305">
        <v>1600</v>
      </c>
      <c r="AA53" s="251">
        <v>70000</v>
      </c>
      <c r="AB53" s="250">
        <f t="shared" si="8"/>
        <v>1.6069788797061524</v>
      </c>
      <c r="AC53" s="250">
        <f t="shared" si="9"/>
        <v>25.711662075298438</v>
      </c>
      <c r="AD53" s="257"/>
      <c r="AE53" s="258" t="s">
        <v>1030</v>
      </c>
      <c r="AF53" s="252">
        <v>7</v>
      </c>
      <c r="AG53" s="253" t="s">
        <v>539</v>
      </c>
      <c r="AH53" s="254" t="s">
        <v>1053</v>
      </c>
    </row>
    <row r="54" spans="1:34">
      <c r="A54" s="240" t="s">
        <v>854</v>
      </c>
      <c r="B54" s="255" t="s">
        <v>147</v>
      </c>
      <c r="C54" s="102" t="s">
        <v>45</v>
      </c>
      <c r="D54" s="397" t="s">
        <v>883</v>
      </c>
      <c r="E54" s="395" t="s">
        <v>883</v>
      </c>
      <c r="F54" s="395" t="s">
        <v>1094</v>
      </c>
      <c r="G54" s="396" t="s">
        <v>1094</v>
      </c>
      <c r="H54" s="396" t="s">
        <v>1094</v>
      </c>
      <c r="I54" s="396" t="s">
        <v>1094</v>
      </c>
      <c r="J54" s="396" t="s">
        <v>883</v>
      </c>
      <c r="K54" s="248">
        <f t="shared" si="6"/>
        <v>1.7578125E-3</v>
      </c>
      <c r="L54" s="401" t="s">
        <v>883</v>
      </c>
      <c r="M54" s="401" t="s">
        <v>1094</v>
      </c>
      <c r="N54" s="401" t="s">
        <v>883</v>
      </c>
      <c r="O54" s="401" t="s">
        <v>1094</v>
      </c>
      <c r="P54" s="401" t="s">
        <v>883</v>
      </c>
      <c r="Q54" s="401" t="s">
        <v>1094</v>
      </c>
      <c r="R54" s="401" t="s">
        <v>883</v>
      </c>
      <c r="S54" s="401" t="s">
        <v>1094</v>
      </c>
      <c r="T54" s="401" t="s">
        <v>883</v>
      </c>
      <c r="U54" s="401" t="s">
        <v>883</v>
      </c>
      <c r="V54" s="249">
        <f t="shared" si="7"/>
        <v>2.9777343750000003</v>
      </c>
      <c r="W54" s="260"/>
      <c r="X54" s="250"/>
      <c r="Y54" s="632">
        <f t="shared" si="11"/>
        <v>56.25</v>
      </c>
      <c r="Z54" s="305">
        <v>900</v>
      </c>
      <c r="AA54" s="251">
        <v>32000</v>
      </c>
      <c r="AB54" s="250">
        <f t="shared" si="8"/>
        <v>0.7346189164370982</v>
      </c>
      <c r="AC54" s="250">
        <f t="shared" si="9"/>
        <v>11.753902662993571</v>
      </c>
      <c r="AD54" s="245"/>
      <c r="AE54" s="258" t="s">
        <v>1029</v>
      </c>
      <c r="AF54" s="252">
        <v>7</v>
      </c>
      <c r="AG54" s="253" t="s">
        <v>541</v>
      </c>
      <c r="AH54" s="254" t="s">
        <v>1055</v>
      </c>
    </row>
    <row r="55" spans="1:34">
      <c r="A55" s="240" t="s">
        <v>854</v>
      </c>
      <c r="B55" s="255" t="s">
        <v>183</v>
      </c>
      <c r="C55" s="102" t="s">
        <v>85</v>
      </c>
      <c r="D55" s="397" t="s">
        <v>883</v>
      </c>
      <c r="E55" s="395" t="s">
        <v>1094</v>
      </c>
      <c r="F55" s="395" t="s">
        <v>883</v>
      </c>
      <c r="G55" s="396" t="s">
        <v>883</v>
      </c>
      <c r="H55" s="396" t="s">
        <v>1094</v>
      </c>
      <c r="I55" s="396" t="s">
        <v>883</v>
      </c>
      <c r="J55" s="396" t="s">
        <v>1094</v>
      </c>
      <c r="K55" s="248">
        <f t="shared" si="6"/>
        <v>1.3636363636363637E-3</v>
      </c>
      <c r="L55" s="401" t="s">
        <v>1094</v>
      </c>
      <c r="M55" s="401" t="s">
        <v>1094</v>
      </c>
      <c r="N55" s="401" t="s">
        <v>1094</v>
      </c>
      <c r="O55" s="401" t="s">
        <v>1094</v>
      </c>
      <c r="P55" s="401" t="s">
        <v>1094</v>
      </c>
      <c r="Q55" s="401" t="s">
        <v>1094</v>
      </c>
      <c r="R55" s="401" t="s">
        <v>1094</v>
      </c>
      <c r="S55" s="401" t="s">
        <v>1094</v>
      </c>
      <c r="T55" s="401" t="s">
        <v>1094</v>
      </c>
      <c r="U55" s="401" t="s">
        <v>1094</v>
      </c>
      <c r="V55" s="249">
        <f t="shared" si="7"/>
        <v>17.324999999999999</v>
      </c>
      <c r="W55" s="250"/>
      <c r="X55" s="250"/>
      <c r="Y55" s="632">
        <f t="shared" si="11"/>
        <v>7.5</v>
      </c>
      <c r="Z55" s="305">
        <v>120</v>
      </c>
      <c r="AA55" s="251">
        <v>5500</v>
      </c>
      <c r="AB55" s="250">
        <f t="shared" si="8"/>
        <v>0.12626262626262627</v>
      </c>
      <c r="AC55" s="250">
        <f t="shared" si="9"/>
        <v>2.0202020202020203</v>
      </c>
      <c r="AD55" s="245"/>
      <c r="AE55" s="258"/>
      <c r="AF55" s="252">
        <v>5</v>
      </c>
      <c r="AG55" s="253" t="s">
        <v>540</v>
      </c>
      <c r="AH55" s="254" t="s">
        <v>1053</v>
      </c>
    </row>
    <row r="56" spans="1:34">
      <c r="A56" s="240" t="s">
        <v>854</v>
      </c>
      <c r="B56" s="255" t="s">
        <v>126</v>
      </c>
      <c r="C56" s="102" t="s">
        <v>22</v>
      </c>
      <c r="D56" s="395" t="s">
        <v>1094</v>
      </c>
      <c r="E56" s="397" t="s">
        <v>1094</v>
      </c>
      <c r="F56" s="397" t="s">
        <v>883</v>
      </c>
      <c r="G56" s="396" t="s">
        <v>883</v>
      </c>
      <c r="H56" s="396" t="s">
        <v>883</v>
      </c>
      <c r="I56" s="396" t="s">
        <v>883</v>
      </c>
      <c r="J56" s="396" t="s">
        <v>1094</v>
      </c>
      <c r="K56" s="248">
        <f t="shared" si="6"/>
        <v>3.7006578947368422E-4</v>
      </c>
      <c r="L56" s="401" t="s">
        <v>1094</v>
      </c>
      <c r="M56" s="401" t="s">
        <v>1094</v>
      </c>
      <c r="N56" s="401" t="s">
        <v>1094</v>
      </c>
      <c r="O56" s="401" t="s">
        <v>1094</v>
      </c>
      <c r="P56" s="401" t="s">
        <v>1094</v>
      </c>
      <c r="Q56" s="401" t="s">
        <v>1094</v>
      </c>
      <c r="R56" s="401" t="s">
        <v>1094</v>
      </c>
      <c r="S56" s="401" t="s">
        <v>1094</v>
      </c>
      <c r="T56" s="401" t="s">
        <v>1094</v>
      </c>
      <c r="U56" s="401" t="s">
        <v>1094</v>
      </c>
      <c r="V56" s="249">
        <f t="shared" si="7"/>
        <v>12.537828947368421</v>
      </c>
      <c r="W56" s="250"/>
      <c r="X56" s="250"/>
      <c r="Y56" s="632">
        <f t="shared" si="11"/>
        <v>2.8125</v>
      </c>
      <c r="Z56" s="305">
        <v>45</v>
      </c>
      <c r="AA56" s="251">
        <v>7600</v>
      </c>
      <c r="AB56" s="250">
        <f t="shared" si="8"/>
        <v>0.17447199265381083</v>
      </c>
      <c r="AC56" s="250">
        <f t="shared" si="9"/>
        <v>2.7915518824609733</v>
      </c>
      <c r="AD56" s="257"/>
      <c r="AE56" s="258"/>
      <c r="AF56" s="252">
        <v>9</v>
      </c>
      <c r="AG56" s="253" t="s">
        <v>540</v>
      </c>
      <c r="AH56" s="254"/>
    </row>
    <row r="57" spans="1:34">
      <c r="A57" s="240" t="s">
        <v>854</v>
      </c>
      <c r="B57" s="247" t="s">
        <v>167</v>
      </c>
      <c r="C57" s="102" t="s">
        <v>66</v>
      </c>
      <c r="D57" s="397" t="s">
        <v>883</v>
      </c>
      <c r="E57" s="397" t="s">
        <v>883</v>
      </c>
      <c r="F57" s="397" t="s">
        <v>1094</v>
      </c>
      <c r="G57" s="396" t="s">
        <v>883</v>
      </c>
      <c r="H57" s="396" t="s">
        <v>883</v>
      </c>
      <c r="I57" s="396" t="s">
        <v>1094</v>
      </c>
      <c r="J57" s="396" t="s">
        <v>883</v>
      </c>
      <c r="K57" s="248">
        <f t="shared" si="6"/>
        <v>5.0000000000000001E-3</v>
      </c>
      <c r="L57" s="401" t="s">
        <v>1094</v>
      </c>
      <c r="M57" s="401" t="s">
        <v>1094</v>
      </c>
      <c r="N57" s="401" t="s">
        <v>1094</v>
      </c>
      <c r="O57" s="401" t="s">
        <v>1094</v>
      </c>
      <c r="P57" s="401" t="s">
        <v>1094</v>
      </c>
      <c r="Q57" s="401" t="s">
        <v>1094</v>
      </c>
      <c r="R57" s="401" t="s">
        <v>1094</v>
      </c>
      <c r="S57" s="401" t="s">
        <v>1094</v>
      </c>
      <c r="T57" s="401" t="s">
        <v>1094</v>
      </c>
      <c r="U57" s="401" t="s">
        <v>1094</v>
      </c>
      <c r="V57" s="249">
        <f t="shared" si="7"/>
        <v>5.2937500000000002</v>
      </c>
      <c r="W57" s="250"/>
      <c r="X57" s="250"/>
      <c r="Y57" s="632">
        <f t="shared" si="11"/>
        <v>90</v>
      </c>
      <c r="Z57" s="305">
        <v>1440</v>
      </c>
      <c r="AA57" s="251">
        <v>18000</v>
      </c>
      <c r="AB57" s="250">
        <f t="shared" si="8"/>
        <v>0.41322314049586778</v>
      </c>
      <c r="AC57" s="250">
        <f t="shared" si="9"/>
        <v>6.6115702479338845</v>
      </c>
      <c r="AD57" s="245"/>
      <c r="AE57" s="258" t="s">
        <v>1028</v>
      </c>
      <c r="AF57" s="252">
        <v>8</v>
      </c>
      <c r="AG57" s="253" t="s">
        <v>541</v>
      </c>
      <c r="AH57" s="254" t="s">
        <v>1055</v>
      </c>
    </row>
    <row r="58" spans="1:34">
      <c r="A58" s="240" t="s">
        <v>854</v>
      </c>
      <c r="B58" s="255" t="s">
        <v>210</v>
      </c>
      <c r="C58" s="102" t="s">
        <v>111</v>
      </c>
      <c r="D58" s="397" t="s">
        <v>883</v>
      </c>
      <c r="E58" s="397" t="s">
        <v>883</v>
      </c>
      <c r="F58" s="395" t="s">
        <v>1094</v>
      </c>
      <c r="G58" s="396" t="s">
        <v>883</v>
      </c>
      <c r="H58" s="396" t="s">
        <v>883</v>
      </c>
      <c r="I58" s="396" t="s">
        <v>1094</v>
      </c>
      <c r="J58" s="396" t="s">
        <v>883</v>
      </c>
      <c r="K58" s="248">
        <f t="shared" si="6"/>
        <v>1.0901162790697674E-3</v>
      </c>
      <c r="L58" s="401" t="s">
        <v>1094</v>
      </c>
      <c r="M58" s="401" t="s">
        <v>1094</v>
      </c>
      <c r="N58" s="401" t="s">
        <v>1094</v>
      </c>
      <c r="O58" s="401" t="s">
        <v>1094</v>
      </c>
      <c r="P58" s="401" t="s">
        <v>1094</v>
      </c>
      <c r="Q58" s="401" t="s">
        <v>1094</v>
      </c>
      <c r="R58" s="401" t="s">
        <v>1094</v>
      </c>
      <c r="S58" s="401" t="s">
        <v>1094</v>
      </c>
      <c r="T58" s="401" t="s">
        <v>1094</v>
      </c>
      <c r="U58" s="401" t="s">
        <v>1094</v>
      </c>
      <c r="V58" s="249">
        <f t="shared" si="7"/>
        <v>7.3866279069767442</v>
      </c>
      <c r="W58" s="260"/>
      <c r="X58" s="260"/>
      <c r="Y58" s="632">
        <f t="shared" si="11"/>
        <v>14.0625</v>
      </c>
      <c r="Z58" s="305">
        <v>225</v>
      </c>
      <c r="AA58" s="251">
        <v>12900</v>
      </c>
      <c r="AB58" s="250">
        <f t="shared" si="8"/>
        <v>0.29614325068870523</v>
      </c>
      <c r="AC58" s="250">
        <f t="shared" si="9"/>
        <v>4.7382920110192837</v>
      </c>
      <c r="AD58" s="246"/>
      <c r="AE58" s="258" t="s">
        <v>1029</v>
      </c>
      <c r="AF58" s="252">
        <v>4</v>
      </c>
      <c r="AG58" s="253" t="s">
        <v>541</v>
      </c>
      <c r="AH58" s="259" t="s">
        <v>1055</v>
      </c>
    </row>
    <row r="59" spans="1:34">
      <c r="A59" s="506" t="s">
        <v>854</v>
      </c>
      <c r="B59" s="507" t="s">
        <v>11223</v>
      </c>
      <c r="C59" s="508" t="s">
        <v>1679</v>
      </c>
      <c r="D59" s="509" t="s">
        <v>883</v>
      </c>
      <c r="E59" s="509"/>
      <c r="F59" s="509" t="s">
        <v>1094</v>
      </c>
      <c r="G59" s="510" t="s">
        <v>1094</v>
      </c>
      <c r="H59" s="510" t="s">
        <v>1094</v>
      </c>
      <c r="I59" s="510" t="s">
        <v>1094</v>
      </c>
      <c r="J59" s="510"/>
      <c r="K59" s="248" t="e">
        <f t="shared" si="6"/>
        <v>#DIV/0!</v>
      </c>
      <c r="L59" s="512" t="s">
        <v>1094</v>
      </c>
      <c r="M59" s="512" t="s">
        <v>1094</v>
      </c>
      <c r="N59" s="512" t="s">
        <v>1094</v>
      </c>
      <c r="O59" s="512" t="s">
        <v>1094</v>
      </c>
      <c r="P59" s="512" t="s">
        <v>1094</v>
      </c>
      <c r="Q59" s="512" t="s">
        <v>1094</v>
      </c>
      <c r="R59" s="512" t="s">
        <v>1094</v>
      </c>
      <c r="S59" s="512" t="s">
        <v>1094</v>
      </c>
      <c r="T59" s="512" t="s">
        <v>1094</v>
      </c>
      <c r="U59" s="512" t="s">
        <v>1094</v>
      </c>
      <c r="V59" s="513" t="e">
        <f t="shared" si="7"/>
        <v>#DIV/0!</v>
      </c>
      <c r="W59" s="514"/>
      <c r="X59" s="514"/>
      <c r="Y59" s="633">
        <f t="shared" si="11"/>
        <v>0</v>
      </c>
      <c r="Z59" s="634">
        <v>0</v>
      </c>
      <c r="AA59" s="515"/>
      <c r="AB59" s="514">
        <f t="shared" si="8"/>
        <v>0</v>
      </c>
      <c r="AC59" s="514">
        <f t="shared" si="9"/>
        <v>0</v>
      </c>
      <c r="AD59" s="517"/>
      <c r="AE59" s="517" t="s">
        <v>1028</v>
      </c>
      <c r="AF59" s="518">
        <v>5</v>
      </c>
      <c r="AG59" s="519" t="s">
        <v>541</v>
      </c>
      <c r="AH59" s="520"/>
    </row>
    <row r="60" spans="1:34">
      <c r="A60" s="240" t="s">
        <v>854</v>
      </c>
      <c r="B60" s="247" t="s">
        <v>140</v>
      </c>
      <c r="C60" s="102" t="s">
        <v>39</v>
      </c>
      <c r="D60" s="397" t="s">
        <v>1094</v>
      </c>
      <c r="E60" s="397" t="s">
        <v>1094</v>
      </c>
      <c r="F60" s="397" t="s">
        <v>883</v>
      </c>
      <c r="G60" s="396" t="s">
        <v>1094</v>
      </c>
      <c r="H60" s="396" t="s">
        <v>1094</v>
      </c>
      <c r="I60" s="396" t="s">
        <v>883</v>
      </c>
      <c r="J60" s="396" t="s">
        <v>1094</v>
      </c>
      <c r="K60" s="248">
        <f t="shared" si="6"/>
        <v>1.5625000000000001E-3</v>
      </c>
      <c r="L60" s="401" t="s">
        <v>1094</v>
      </c>
      <c r="M60" s="401" t="s">
        <v>1094</v>
      </c>
      <c r="N60" s="401" t="s">
        <v>1094</v>
      </c>
      <c r="O60" s="401" t="s">
        <v>1094</v>
      </c>
      <c r="P60" s="401" t="s">
        <v>1094</v>
      </c>
      <c r="Q60" s="401" t="s">
        <v>1094</v>
      </c>
      <c r="R60" s="401" t="s">
        <v>1094</v>
      </c>
      <c r="S60" s="401" t="s">
        <v>1094</v>
      </c>
      <c r="T60" s="401" t="s">
        <v>1094</v>
      </c>
      <c r="U60" s="401" t="s">
        <v>1094</v>
      </c>
      <c r="V60" s="249">
        <f t="shared" si="7"/>
        <v>7.9406249999999998</v>
      </c>
      <c r="W60" s="250"/>
      <c r="X60" s="250"/>
      <c r="Y60" s="632">
        <f t="shared" si="11"/>
        <v>18.75</v>
      </c>
      <c r="Z60" s="636">
        <v>300</v>
      </c>
      <c r="AA60" s="251">
        <v>12000</v>
      </c>
      <c r="AB60" s="250">
        <f t="shared" si="8"/>
        <v>0.27548209366391185</v>
      </c>
      <c r="AC60" s="250">
        <f t="shared" si="9"/>
        <v>4.4077134986225897</v>
      </c>
      <c r="AD60" s="257"/>
      <c r="AE60" s="258" t="s">
        <v>1029</v>
      </c>
      <c r="AF60" s="252">
        <v>1</v>
      </c>
      <c r="AG60" s="253" t="s">
        <v>541</v>
      </c>
      <c r="AH60" s="254" t="s">
        <v>1055</v>
      </c>
    </row>
    <row r="61" spans="1:34">
      <c r="A61" s="240" t="s">
        <v>854</v>
      </c>
      <c r="B61" s="255" t="s">
        <v>150</v>
      </c>
      <c r="C61" s="102" t="s">
        <v>13</v>
      </c>
      <c r="D61" s="397" t="s">
        <v>883</v>
      </c>
      <c r="E61" s="395" t="s">
        <v>883</v>
      </c>
      <c r="F61" s="395" t="s">
        <v>1094</v>
      </c>
      <c r="G61" s="396" t="s">
        <v>1094</v>
      </c>
      <c r="H61" s="396" t="s">
        <v>1094</v>
      </c>
      <c r="I61" s="396" t="s">
        <v>1094</v>
      </c>
      <c r="J61" s="396" t="s">
        <v>1094</v>
      </c>
      <c r="K61" s="248">
        <f t="shared" si="6"/>
        <v>9.0909090909090905E-3</v>
      </c>
      <c r="L61" s="401" t="s">
        <v>1094</v>
      </c>
      <c r="M61" s="401" t="s">
        <v>1094</v>
      </c>
      <c r="N61" s="401" t="s">
        <v>1094</v>
      </c>
      <c r="O61" s="401" t="s">
        <v>1094</v>
      </c>
      <c r="P61" s="401" t="s">
        <v>1094</v>
      </c>
      <c r="Q61" s="401" t="s">
        <v>1094</v>
      </c>
      <c r="R61" s="401" t="s">
        <v>1094</v>
      </c>
      <c r="S61" s="401" t="s">
        <v>1094</v>
      </c>
      <c r="T61" s="401" t="s">
        <v>1094</v>
      </c>
      <c r="U61" s="401" t="s">
        <v>1094</v>
      </c>
      <c r="V61" s="249">
        <f t="shared" si="7"/>
        <v>28.875</v>
      </c>
      <c r="W61" s="250"/>
      <c r="X61" s="250"/>
      <c r="Y61" s="632">
        <f t="shared" si="11"/>
        <v>30</v>
      </c>
      <c r="Z61" s="305">
        <v>480</v>
      </c>
      <c r="AA61" s="251">
        <v>3300</v>
      </c>
      <c r="AB61" s="250">
        <f t="shared" si="8"/>
        <v>7.575757575757576E-2</v>
      </c>
      <c r="AC61" s="250">
        <f t="shared" si="9"/>
        <v>1.2121212121212122</v>
      </c>
      <c r="AD61" s="245"/>
      <c r="AE61" s="258" t="s">
        <v>1028</v>
      </c>
      <c r="AF61" s="252">
        <v>6</v>
      </c>
      <c r="AG61" s="253" t="s">
        <v>541</v>
      </c>
      <c r="AH61" s="254" t="s">
        <v>1053</v>
      </c>
    </row>
    <row r="62" spans="1:34">
      <c r="A62" s="240" t="s">
        <v>854</v>
      </c>
      <c r="B62" s="255" t="s">
        <v>171</v>
      </c>
      <c r="C62" s="102" t="s">
        <v>71</v>
      </c>
      <c r="D62" s="397" t="s">
        <v>883</v>
      </c>
      <c r="E62" s="395" t="s">
        <v>1094</v>
      </c>
      <c r="F62" s="395" t="s">
        <v>1094</v>
      </c>
      <c r="G62" s="396" t="s">
        <v>883</v>
      </c>
      <c r="H62" s="396" t="s">
        <v>1094</v>
      </c>
      <c r="I62" s="396" t="s">
        <v>883</v>
      </c>
      <c r="J62" s="396" t="s">
        <v>1094</v>
      </c>
      <c r="K62" s="248">
        <f t="shared" si="6"/>
        <v>2.3437499999999999E-3</v>
      </c>
      <c r="L62" s="401" t="s">
        <v>883</v>
      </c>
      <c r="M62" s="401" t="s">
        <v>883</v>
      </c>
      <c r="N62" s="401" t="s">
        <v>883</v>
      </c>
      <c r="O62" s="401" t="s">
        <v>883</v>
      </c>
      <c r="P62" s="401" t="s">
        <v>883</v>
      </c>
      <c r="Q62" s="401" t="s">
        <v>883</v>
      </c>
      <c r="R62" s="401" t="s">
        <v>883</v>
      </c>
      <c r="S62" s="401" t="s">
        <v>1094</v>
      </c>
      <c r="T62" s="401" t="s">
        <v>883</v>
      </c>
      <c r="U62" s="401" t="s">
        <v>883</v>
      </c>
      <c r="V62" s="249">
        <f t="shared" si="7"/>
        <v>23.821875000000002</v>
      </c>
      <c r="W62" s="250"/>
      <c r="X62" s="250"/>
      <c r="Y62" s="632">
        <f t="shared" si="11"/>
        <v>9.375</v>
      </c>
      <c r="Z62" s="305">
        <v>150</v>
      </c>
      <c r="AA62" s="251">
        <v>4000</v>
      </c>
      <c r="AB62" s="250">
        <f t="shared" si="8"/>
        <v>9.1827364554637275E-2</v>
      </c>
      <c r="AC62" s="250">
        <f t="shared" si="9"/>
        <v>1.4692378328741964</v>
      </c>
      <c r="AD62" s="245"/>
      <c r="AE62" s="258" t="s">
        <v>1029</v>
      </c>
      <c r="AF62" s="252">
        <v>6</v>
      </c>
      <c r="AG62" s="253" t="s">
        <v>539</v>
      </c>
      <c r="AH62" s="254" t="s">
        <v>1052</v>
      </c>
    </row>
    <row r="63" spans="1:34">
      <c r="A63" s="240" t="s">
        <v>854</v>
      </c>
      <c r="B63" s="255" t="s">
        <v>868</v>
      </c>
      <c r="C63" s="102" t="s">
        <v>867</v>
      </c>
      <c r="D63" s="395" t="s">
        <v>1094</v>
      </c>
      <c r="E63" s="395" t="s">
        <v>1094</v>
      </c>
      <c r="F63" s="395" t="s">
        <v>883</v>
      </c>
      <c r="G63" s="396" t="s">
        <v>1094</v>
      </c>
      <c r="H63" s="396" t="s">
        <v>1094</v>
      </c>
      <c r="I63" s="396" t="s">
        <v>883</v>
      </c>
      <c r="J63" s="396" t="s">
        <v>883</v>
      </c>
      <c r="K63" s="248">
        <f t="shared" si="6"/>
        <v>3.1250000000000001E-5</v>
      </c>
      <c r="L63" s="401" t="s">
        <v>1094</v>
      </c>
      <c r="M63" s="401" t="s">
        <v>1094</v>
      </c>
      <c r="N63" s="401" t="s">
        <v>1094</v>
      </c>
      <c r="O63" s="401" t="s">
        <v>1094</v>
      </c>
      <c r="P63" s="401" t="s">
        <v>1094</v>
      </c>
      <c r="Q63" s="401" t="s">
        <v>1094</v>
      </c>
      <c r="R63" s="401" t="s">
        <v>1094</v>
      </c>
      <c r="S63" s="401" t="s">
        <v>1094</v>
      </c>
      <c r="T63" s="401" t="s">
        <v>1094</v>
      </c>
      <c r="U63" s="401" t="s">
        <v>1094</v>
      </c>
      <c r="V63" s="249">
        <f t="shared" si="7"/>
        <v>7.9406249999999998</v>
      </c>
      <c r="W63" s="260"/>
      <c r="X63" s="260"/>
      <c r="Y63" s="632">
        <f t="shared" si="11"/>
        <v>0.375</v>
      </c>
      <c r="Z63" s="305">
        <v>6</v>
      </c>
      <c r="AA63" s="251">
        <v>12000</v>
      </c>
      <c r="AB63" s="250">
        <f t="shared" si="8"/>
        <v>0.27548209366391185</v>
      </c>
      <c r="AC63" s="250">
        <f t="shared" si="9"/>
        <v>4.4077134986225897</v>
      </c>
      <c r="AD63" s="246"/>
      <c r="AE63" s="258" t="s">
        <v>1028</v>
      </c>
      <c r="AF63" s="252">
        <v>4</v>
      </c>
      <c r="AG63" s="253" t="s">
        <v>539</v>
      </c>
      <c r="AH63" s="254" t="s">
        <v>1056</v>
      </c>
    </row>
    <row r="64" spans="1:34">
      <c r="A64" s="240" t="s">
        <v>854</v>
      </c>
      <c r="B64" s="255" t="s">
        <v>141</v>
      </c>
      <c r="C64" s="102" t="s">
        <v>41</v>
      </c>
      <c r="D64" s="397" t="s">
        <v>883</v>
      </c>
      <c r="E64" s="395" t="s">
        <v>1094</v>
      </c>
      <c r="F64" s="397" t="s">
        <v>1094</v>
      </c>
      <c r="G64" s="396" t="s">
        <v>883</v>
      </c>
      <c r="H64" s="396" t="s">
        <v>1094</v>
      </c>
      <c r="I64" s="396" t="s">
        <v>883</v>
      </c>
      <c r="J64" s="396" t="s">
        <v>1094</v>
      </c>
      <c r="K64" s="248">
        <f t="shared" si="6"/>
        <v>3.3333333333333335E-3</v>
      </c>
      <c r="L64" s="401" t="s">
        <v>1094</v>
      </c>
      <c r="M64" s="401" t="s">
        <v>1094</v>
      </c>
      <c r="N64" s="401" t="s">
        <v>1094</v>
      </c>
      <c r="O64" s="401" t="s">
        <v>1094</v>
      </c>
      <c r="P64" s="401" t="s">
        <v>1094</v>
      </c>
      <c r="Q64" s="401" t="s">
        <v>1094</v>
      </c>
      <c r="R64" s="401" t="s">
        <v>1094</v>
      </c>
      <c r="S64" s="401" t="s">
        <v>1094</v>
      </c>
      <c r="T64" s="401" t="s">
        <v>1094</v>
      </c>
      <c r="U64" s="401" t="s">
        <v>1094</v>
      </c>
      <c r="V64" s="249">
        <f t="shared" si="7"/>
        <v>10.5875</v>
      </c>
      <c r="W64" s="260"/>
      <c r="X64" s="250"/>
      <c r="Y64" s="632">
        <v>30</v>
      </c>
      <c r="Z64" s="305">
        <v>450</v>
      </c>
      <c r="AA64" s="251">
        <v>9000</v>
      </c>
      <c r="AB64" s="250">
        <f t="shared" si="8"/>
        <v>0.20661157024793389</v>
      </c>
      <c r="AC64" s="250">
        <f t="shared" si="9"/>
        <v>3.3057851239669422</v>
      </c>
      <c r="AD64" s="245"/>
      <c r="AE64" s="258" t="s">
        <v>1029</v>
      </c>
      <c r="AF64" s="252">
        <v>4</v>
      </c>
      <c r="AG64" s="253" t="s">
        <v>541</v>
      </c>
      <c r="AH64" s="254" t="s">
        <v>1053</v>
      </c>
    </row>
    <row r="65" spans="1:34">
      <c r="A65" s="240" t="s">
        <v>854</v>
      </c>
      <c r="B65" s="255" t="s">
        <v>196</v>
      </c>
      <c r="C65" s="102" t="s">
        <v>98</v>
      </c>
      <c r="D65" s="397" t="s">
        <v>883</v>
      </c>
      <c r="E65" s="395" t="s">
        <v>1094</v>
      </c>
      <c r="F65" s="395" t="s">
        <v>883</v>
      </c>
      <c r="G65" s="396" t="s">
        <v>1094</v>
      </c>
      <c r="H65" s="396" t="s">
        <v>1094</v>
      </c>
      <c r="I65" s="396" t="s">
        <v>883</v>
      </c>
      <c r="J65" s="396" t="s">
        <v>883</v>
      </c>
      <c r="K65" s="248">
        <f t="shared" si="6"/>
        <v>6.6964285714285711E-6</v>
      </c>
      <c r="L65" s="401" t="s">
        <v>1094</v>
      </c>
      <c r="M65" s="401" t="s">
        <v>1094</v>
      </c>
      <c r="N65" s="401" t="s">
        <v>1094</v>
      </c>
      <c r="O65" s="401" t="s">
        <v>1094</v>
      </c>
      <c r="P65" s="401" t="s">
        <v>1094</v>
      </c>
      <c r="Q65" s="401" t="s">
        <v>1094</v>
      </c>
      <c r="R65" s="401" t="s">
        <v>1094</v>
      </c>
      <c r="S65" s="401" t="s">
        <v>1094</v>
      </c>
      <c r="T65" s="401" t="s">
        <v>1094</v>
      </c>
      <c r="U65" s="401" t="s">
        <v>1094</v>
      </c>
      <c r="V65" s="249">
        <f t="shared" si="7"/>
        <v>3.4031249999999999E-2</v>
      </c>
      <c r="W65" s="260"/>
      <c r="X65" s="260"/>
      <c r="Y65" s="632">
        <f>SUM(Z65/16)</f>
        <v>18.75</v>
      </c>
      <c r="Z65" s="305">
        <v>300</v>
      </c>
      <c r="AA65" s="251">
        <v>2800000</v>
      </c>
      <c r="AB65" s="250">
        <f t="shared" si="8"/>
        <v>64.279155188246094</v>
      </c>
      <c r="AC65" s="250">
        <f t="shared" si="9"/>
        <v>1028.4664830119375</v>
      </c>
      <c r="AD65" s="246"/>
      <c r="AE65" s="258" t="s">
        <v>1028</v>
      </c>
      <c r="AF65" s="252">
        <v>2</v>
      </c>
      <c r="AG65" s="253" t="s">
        <v>545</v>
      </c>
      <c r="AH65" s="254" t="s">
        <v>1055</v>
      </c>
    </row>
    <row r="66" spans="1:34">
      <c r="A66" s="240" t="s">
        <v>854</v>
      </c>
      <c r="B66" s="255" t="s">
        <v>144</v>
      </c>
      <c r="C66" s="102" t="s">
        <v>44</v>
      </c>
      <c r="D66" s="397" t="s">
        <v>883</v>
      </c>
      <c r="E66" s="395" t="s">
        <v>883</v>
      </c>
      <c r="F66" s="395" t="s">
        <v>1094</v>
      </c>
      <c r="G66" s="396" t="s">
        <v>1094</v>
      </c>
      <c r="H66" s="396" t="s">
        <v>1094</v>
      </c>
      <c r="I66" s="396" t="s">
        <v>1094</v>
      </c>
      <c r="J66" s="396" t="s">
        <v>883</v>
      </c>
      <c r="K66" s="248">
        <f t="shared" si="6"/>
        <v>2.3076923076923079E-3</v>
      </c>
      <c r="L66" s="401" t="s">
        <v>883</v>
      </c>
      <c r="M66" s="401" t="s">
        <v>1094</v>
      </c>
      <c r="N66" s="401" t="s">
        <v>1094</v>
      </c>
      <c r="O66" s="401" t="s">
        <v>1094</v>
      </c>
      <c r="P66" s="401" t="s">
        <v>1094</v>
      </c>
      <c r="Q66" s="401" t="s">
        <v>883</v>
      </c>
      <c r="R66" s="401" t="s">
        <v>1094</v>
      </c>
      <c r="S66" s="401" t="s">
        <v>1094</v>
      </c>
      <c r="T66" s="401" t="s">
        <v>883</v>
      </c>
      <c r="U66" s="401" t="s">
        <v>883</v>
      </c>
      <c r="V66" s="249">
        <f t="shared" si="7"/>
        <v>2.4432692307692307</v>
      </c>
      <c r="W66" s="260"/>
      <c r="X66" s="250"/>
      <c r="Y66" s="632">
        <f>SUM(Z66/16)</f>
        <v>90</v>
      </c>
      <c r="Z66" s="305">
        <v>1440</v>
      </c>
      <c r="AA66" s="251">
        <v>39000</v>
      </c>
      <c r="AB66" s="250">
        <f t="shared" si="8"/>
        <v>0.89531680440771355</v>
      </c>
      <c r="AC66" s="250">
        <f t="shared" si="9"/>
        <v>14.325068870523417</v>
      </c>
      <c r="AD66" s="245"/>
      <c r="AE66" s="258" t="s">
        <v>1028</v>
      </c>
      <c r="AF66" s="252">
        <v>7</v>
      </c>
      <c r="AG66" s="253" t="s">
        <v>541</v>
      </c>
      <c r="AH66" s="254" t="s">
        <v>1055</v>
      </c>
    </row>
    <row r="67" spans="1:34">
      <c r="A67" s="506" t="s">
        <v>854</v>
      </c>
      <c r="B67" s="507" t="s">
        <v>11179</v>
      </c>
      <c r="C67" s="508" t="s">
        <v>11180</v>
      </c>
      <c r="D67" s="524" t="s">
        <v>883</v>
      </c>
      <c r="E67" s="524" t="s">
        <v>1094</v>
      </c>
      <c r="F67" s="524" t="s">
        <v>883</v>
      </c>
      <c r="G67" s="525" t="s">
        <v>883</v>
      </c>
      <c r="H67" s="525" t="s">
        <v>1094</v>
      </c>
      <c r="I67" s="525" t="s">
        <v>883</v>
      </c>
      <c r="J67" s="525" t="s">
        <v>1094</v>
      </c>
      <c r="K67" s="511">
        <f t="shared" si="6"/>
        <v>2.3999999999999998E-3</v>
      </c>
      <c r="L67" s="511" t="s">
        <v>883</v>
      </c>
      <c r="M67" s="511" t="s">
        <v>1094</v>
      </c>
      <c r="N67" s="511" t="s">
        <v>1094</v>
      </c>
      <c r="O67" s="511" t="s">
        <v>1094</v>
      </c>
      <c r="P67" s="511" t="s">
        <v>1094</v>
      </c>
      <c r="Q67" s="511" t="s">
        <v>883</v>
      </c>
      <c r="R67" s="511" t="s">
        <v>1094</v>
      </c>
      <c r="S67" s="511" t="s">
        <v>1094</v>
      </c>
      <c r="T67" s="511" t="s">
        <v>883</v>
      </c>
      <c r="U67" s="511" t="s">
        <v>883</v>
      </c>
      <c r="V67" s="513">
        <f t="shared" si="7"/>
        <v>7.6230000000000002</v>
      </c>
      <c r="W67" s="514"/>
      <c r="X67" s="514"/>
      <c r="Y67" s="633">
        <v>30</v>
      </c>
      <c r="Z67" s="634">
        <v>480</v>
      </c>
      <c r="AA67" s="515">
        <v>12500</v>
      </c>
      <c r="AB67" s="514">
        <f t="shared" si="8"/>
        <v>0.28696051423324148</v>
      </c>
      <c r="AC67" s="514">
        <f t="shared" si="9"/>
        <v>4.5913682277318637</v>
      </c>
      <c r="AD67" s="528"/>
      <c r="AE67" s="526"/>
      <c r="AF67" s="518">
        <v>6</v>
      </c>
      <c r="AG67" s="519" t="s">
        <v>541</v>
      </c>
      <c r="AH67" s="520" t="s">
        <v>1060</v>
      </c>
    </row>
    <row r="68" spans="1:34">
      <c r="A68" s="240" t="s">
        <v>854</v>
      </c>
      <c r="B68" s="591" t="s">
        <v>157</v>
      </c>
      <c r="C68" s="102" t="s">
        <v>55</v>
      </c>
      <c r="D68" s="397" t="s">
        <v>883</v>
      </c>
      <c r="E68" s="397" t="s">
        <v>1094</v>
      </c>
      <c r="F68" s="397" t="s">
        <v>1094</v>
      </c>
      <c r="G68" s="396" t="s">
        <v>883</v>
      </c>
      <c r="H68" s="396" t="s">
        <v>1094</v>
      </c>
      <c r="I68" s="396" t="s">
        <v>883</v>
      </c>
      <c r="J68" s="396" t="s">
        <v>1094</v>
      </c>
      <c r="K68" s="248">
        <f t="shared" ref="K68:K99" si="12">Y68/AA68</f>
        <v>1.2784090909090909E-3</v>
      </c>
      <c r="L68" s="401" t="s">
        <v>883</v>
      </c>
      <c r="M68" s="401" t="s">
        <v>1094</v>
      </c>
      <c r="N68" s="401" t="s">
        <v>883</v>
      </c>
      <c r="O68" s="401" t="s">
        <v>1094</v>
      </c>
      <c r="P68" s="401" t="s">
        <v>1094</v>
      </c>
      <c r="Q68" s="401" t="s">
        <v>883</v>
      </c>
      <c r="R68" s="401" t="s">
        <v>883</v>
      </c>
      <c r="S68" s="401" t="s">
        <v>883</v>
      </c>
      <c r="T68" s="401" t="s">
        <v>883</v>
      </c>
      <c r="U68" s="401" t="s">
        <v>883</v>
      </c>
      <c r="V68" s="249">
        <f t="shared" ref="V68:V99" si="13">35/AC68</f>
        <v>8.6624999999999996</v>
      </c>
      <c r="W68" s="250"/>
      <c r="X68" s="250"/>
      <c r="Y68" s="632">
        <f t="shared" ref="Y68:Y76" si="14">SUM(Z68/16)</f>
        <v>14.0625</v>
      </c>
      <c r="Z68" s="305">
        <v>225</v>
      </c>
      <c r="AA68" s="251">
        <v>11000</v>
      </c>
      <c r="AB68" s="250">
        <f t="shared" ref="AB68:AB99" si="15">AA68/43560</f>
        <v>0.25252525252525254</v>
      </c>
      <c r="AC68" s="250">
        <f t="shared" ref="AC68:AC99" si="16">AB68*16</f>
        <v>4.0404040404040407</v>
      </c>
      <c r="AD68" s="245"/>
      <c r="AE68" s="258" t="s">
        <v>1028</v>
      </c>
      <c r="AF68" s="252">
        <v>8</v>
      </c>
      <c r="AG68" s="253" t="s">
        <v>541</v>
      </c>
      <c r="AH68" s="254" t="s">
        <v>1055</v>
      </c>
    </row>
    <row r="69" spans="1:34">
      <c r="A69" s="240" t="s">
        <v>854</v>
      </c>
      <c r="B69" s="247" t="s">
        <v>197</v>
      </c>
      <c r="C69" s="102" t="s">
        <v>99</v>
      </c>
      <c r="D69" s="397" t="s">
        <v>883</v>
      </c>
      <c r="E69" s="397" t="s">
        <v>1094</v>
      </c>
      <c r="F69" s="397" t="s">
        <v>1094</v>
      </c>
      <c r="G69" s="396" t="s">
        <v>1094</v>
      </c>
      <c r="H69" s="396" t="s">
        <v>883</v>
      </c>
      <c r="I69" s="396" t="s">
        <v>1094</v>
      </c>
      <c r="J69" s="396" t="s">
        <v>883</v>
      </c>
      <c r="K69" s="248">
        <f t="shared" si="12"/>
        <v>2.1609940572663425E-5</v>
      </c>
      <c r="L69" s="401" t="s">
        <v>1094</v>
      </c>
      <c r="M69" s="401" t="s">
        <v>1094</v>
      </c>
      <c r="N69" s="401" t="s">
        <v>1094</v>
      </c>
      <c r="O69" s="401" t="s">
        <v>1094</v>
      </c>
      <c r="P69" s="401" t="s">
        <v>1094</v>
      </c>
      <c r="Q69" s="401" t="s">
        <v>1094</v>
      </c>
      <c r="R69" s="401" t="s">
        <v>1094</v>
      </c>
      <c r="S69" s="401" t="s">
        <v>1094</v>
      </c>
      <c r="T69" s="401" t="s">
        <v>1094</v>
      </c>
      <c r="U69" s="401" t="s">
        <v>1094</v>
      </c>
      <c r="V69" s="249">
        <f t="shared" si="13"/>
        <v>5.147893030794165E-2</v>
      </c>
      <c r="W69" s="260"/>
      <c r="X69" s="260"/>
      <c r="Y69" s="632">
        <f t="shared" si="14"/>
        <v>40</v>
      </c>
      <c r="Z69" s="305">
        <v>640</v>
      </c>
      <c r="AA69" s="251">
        <v>1851000</v>
      </c>
      <c r="AB69" s="250">
        <f t="shared" si="15"/>
        <v>42.493112947658403</v>
      </c>
      <c r="AC69" s="250">
        <f t="shared" si="16"/>
        <v>679.88980716253445</v>
      </c>
      <c r="AD69" s="246"/>
      <c r="AE69" s="258" t="s">
        <v>1031</v>
      </c>
      <c r="AF69" s="252">
        <v>4</v>
      </c>
      <c r="AG69" s="253" t="s">
        <v>545</v>
      </c>
      <c r="AH69" s="259" t="s">
        <v>1055</v>
      </c>
    </row>
    <row r="70" spans="1:34">
      <c r="A70" s="240" t="s">
        <v>854</v>
      </c>
      <c r="B70" s="386" t="s">
        <v>137</v>
      </c>
      <c r="C70" s="102" t="s">
        <v>35</v>
      </c>
      <c r="D70" s="397" t="s">
        <v>883</v>
      </c>
      <c r="E70" s="397" t="s">
        <v>883</v>
      </c>
      <c r="F70" s="397" t="s">
        <v>1094</v>
      </c>
      <c r="G70" s="396" t="s">
        <v>1094</v>
      </c>
      <c r="H70" s="396" t="s">
        <v>1094</v>
      </c>
      <c r="I70" s="396" t="s">
        <v>1094</v>
      </c>
      <c r="J70" s="396" t="s">
        <v>883</v>
      </c>
      <c r="K70" s="248">
        <f t="shared" si="12"/>
        <v>9.3023255813953494E-4</v>
      </c>
      <c r="L70" s="401" t="s">
        <v>883</v>
      </c>
      <c r="M70" s="401" t="s">
        <v>1094</v>
      </c>
      <c r="N70" s="401" t="s">
        <v>1094</v>
      </c>
      <c r="O70" s="401" t="s">
        <v>1094</v>
      </c>
      <c r="P70" s="401" t="s">
        <v>883</v>
      </c>
      <c r="Q70" s="401" t="s">
        <v>1094</v>
      </c>
      <c r="R70" s="401" t="s">
        <v>883</v>
      </c>
      <c r="S70" s="401" t="s">
        <v>883</v>
      </c>
      <c r="T70" s="401" t="s">
        <v>883</v>
      </c>
      <c r="U70" s="401" t="s">
        <v>883</v>
      </c>
      <c r="V70" s="249">
        <f t="shared" si="13"/>
        <v>2.2159883720930234</v>
      </c>
      <c r="W70" s="250"/>
      <c r="X70" s="250"/>
      <c r="Y70" s="632">
        <f t="shared" si="14"/>
        <v>40</v>
      </c>
      <c r="Z70" s="305">
        <v>640</v>
      </c>
      <c r="AA70" s="251">
        <v>43000</v>
      </c>
      <c r="AB70" s="250">
        <f t="shared" si="15"/>
        <v>0.9871441689623508</v>
      </c>
      <c r="AC70" s="250">
        <f t="shared" si="16"/>
        <v>15.794306703397613</v>
      </c>
      <c r="AD70" s="257"/>
      <c r="AE70" s="258" t="s">
        <v>1028</v>
      </c>
      <c r="AF70" s="252">
        <v>10</v>
      </c>
      <c r="AG70" s="253" t="s">
        <v>541</v>
      </c>
      <c r="AH70" s="254" t="s">
        <v>1055</v>
      </c>
    </row>
    <row r="71" spans="1:34">
      <c r="A71" s="240" t="s">
        <v>854</v>
      </c>
      <c r="B71" s="247" t="s">
        <v>139</v>
      </c>
      <c r="C71" s="102" t="s">
        <v>38</v>
      </c>
      <c r="D71" s="397" t="s">
        <v>883</v>
      </c>
      <c r="E71" s="397" t="s">
        <v>1094</v>
      </c>
      <c r="F71" s="397" t="s">
        <v>883</v>
      </c>
      <c r="G71" s="396" t="s">
        <v>883</v>
      </c>
      <c r="H71" s="396" t="s">
        <v>883</v>
      </c>
      <c r="I71" s="396" t="s">
        <v>883</v>
      </c>
      <c r="J71" s="396" t="s">
        <v>1094</v>
      </c>
      <c r="K71" s="248">
        <f t="shared" si="12"/>
        <v>1.8749999999999999E-3</v>
      </c>
      <c r="L71" s="401" t="s">
        <v>883</v>
      </c>
      <c r="M71" s="401" t="s">
        <v>1094</v>
      </c>
      <c r="N71" s="401" t="s">
        <v>1094</v>
      </c>
      <c r="O71" s="401" t="s">
        <v>1094</v>
      </c>
      <c r="P71" s="401" t="s">
        <v>1094</v>
      </c>
      <c r="Q71" s="401" t="s">
        <v>883</v>
      </c>
      <c r="R71" s="401" t="s">
        <v>1094</v>
      </c>
      <c r="S71" s="401" t="s">
        <v>1094</v>
      </c>
      <c r="T71" s="401" t="s">
        <v>883</v>
      </c>
      <c r="U71" s="401" t="s">
        <v>883</v>
      </c>
      <c r="V71" s="249">
        <f t="shared" si="13"/>
        <v>5.9554687500000005</v>
      </c>
      <c r="W71" s="250"/>
      <c r="X71" s="250"/>
      <c r="Y71" s="632">
        <f t="shared" si="14"/>
        <v>30</v>
      </c>
      <c r="Z71" s="636">
        <v>480</v>
      </c>
      <c r="AA71" s="251">
        <v>16000</v>
      </c>
      <c r="AB71" s="250">
        <f t="shared" si="15"/>
        <v>0.3673094582185491</v>
      </c>
      <c r="AC71" s="250">
        <f t="shared" si="16"/>
        <v>5.8769513314967856</v>
      </c>
      <c r="AD71" s="257"/>
      <c r="AE71" s="258" t="s">
        <v>1028</v>
      </c>
      <c r="AF71" s="252">
        <v>3</v>
      </c>
      <c r="AG71" s="253" t="s">
        <v>541</v>
      </c>
      <c r="AH71" s="254" t="s">
        <v>1055</v>
      </c>
    </row>
    <row r="72" spans="1:34">
      <c r="A72" s="240" t="s">
        <v>854</v>
      </c>
      <c r="B72" s="255" t="s">
        <v>209</v>
      </c>
      <c r="C72" s="102" t="s">
        <v>1085</v>
      </c>
      <c r="D72" s="395" t="s">
        <v>1094</v>
      </c>
      <c r="E72" s="395" t="s">
        <v>1094</v>
      </c>
      <c r="F72" s="397" t="s">
        <v>883</v>
      </c>
      <c r="G72" s="396" t="s">
        <v>1094</v>
      </c>
      <c r="H72" s="396" t="s">
        <v>1094</v>
      </c>
      <c r="I72" s="396" t="s">
        <v>883</v>
      </c>
      <c r="J72" s="396" t="s">
        <v>883</v>
      </c>
      <c r="K72" s="248">
        <f t="shared" si="12"/>
        <v>5.0000000000000002E-5</v>
      </c>
      <c r="L72" s="401" t="s">
        <v>1094</v>
      </c>
      <c r="M72" s="401" t="s">
        <v>1094</v>
      </c>
      <c r="N72" s="401" t="s">
        <v>1094</v>
      </c>
      <c r="O72" s="401" t="s">
        <v>1094</v>
      </c>
      <c r="P72" s="401" t="s">
        <v>1094</v>
      </c>
      <c r="Q72" s="401" t="s">
        <v>1094</v>
      </c>
      <c r="R72" s="401" t="s">
        <v>1094</v>
      </c>
      <c r="S72" s="401" t="s">
        <v>1094</v>
      </c>
      <c r="T72" s="401" t="s">
        <v>1094</v>
      </c>
      <c r="U72" s="401" t="s">
        <v>1094</v>
      </c>
      <c r="V72" s="249">
        <f t="shared" si="13"/>
        <v>6.3525</v>
      </c>
      <c r="W72" s="260"/>
      <c r="X72" s="260"/>
      <c r="Y72" s="632">
        <f t="shared" si="14"/>
        <v>0.75</v>
      </c>
      <c r="Z72" s="305">
        <v>12</v>
      </c>
      <c r="AA72" s="251">
        <v>15000</v>
      </c>
      <c r="AB72" s="250">
        <f t="shared" si="15"/>
        <v>0.34435261707988979</v>
      </c>
      <c r="AC72" s="250">
        <f t="shared" si="16"/>
        <v>5.5096418732782366</v>
      </c>
      <c r="AD72" s="246"/>
      <c r="AE72" s="258" t="s">
        <v>1028</v>
      </c>
      <c r="AF72" s="252">
        <v>5</v>
      </c>
      <c r="AG72" s="253" t="s">
        <v>539</v>
      </c>
      <c r="AH72" s="254" t="s">
        <v>1053</v>
      </c>
    </row>
    <row r="73" spans="1:34">
      <c r="A73" s="240" t="s">
        <v>854</v>
      </c>
      <c r="B73" s="255" t="s">
        <v>133</v>
      </c>
      <c r="C73" s="102" t="s">
        <v>31</v>
      </c>
      <c r="D73" s="397" t="s">
        <v>883</v>
      </c>
      <c r="E73" s="395" t="s">
        <v>883</v>
      </c>
      <c r="F73" s="395" t="s">
        <v>1094</v>
      </c>
      <c r="G73" s="396" t="s">
        <v>1094</v>
      </c>
      <c r="H73" s="396" t="s">
        <v>1094</v>
      </c>
      <c r="I73" s="396" t="s">
        <v>883</v>
      </c>
      <c r="J73" s="396" t="s">
        <v>883</v>
      </c>
      <c r="K73" s="248">
        <f t="shared" si="12"/>
        <v>3.1250000000000001E-4</v>
      </c>
      <c r="L73" s="401" t="s">
        <v>883</v>
      </c>
      <c r="M73" s="401" t="s">
        <v>883</v>
      </c>
      <c r="N73" s="401" t="s">
        <v>883</v>
      </c>
      <c r="O73" s="401" t="s">
        <v>883</v>
      </c>
      <c r="P73" s="401" t="s">
        <v>883</v>
      </c>
      <c r="Q73" s="401" t="s">
        <v>1094</v>
      </c>
      <c r="R73" s="401" t="s">
        <v>883</v>
      </c>
      <c r="S73" s="401" t="s">
        <v>883</v>
      </c>
      <c r="T73" s="401" t="s">
        <v>883</v>
      </c>
      <c r="U73" s="401" t="s">
        <v>883</v>
      </c>
      <c r="V73" s="249">
        <f t="shared" si="13"/>
        <v>3.17625</v>
      </c>
      <c r="W73" s="250"/>
      <c r="X73" s="250"/>
      <c r="Y73" s="632">
        <f t="shared" si="14"/>
        <v>9.375</v>
      </c>
      <c r="Z73" s="305">
        <v>150</v>
      </c>
      <c r="AA73" s="251">
        <v>30000</v>
      </c>
      <c r="AB73" s="250">
        <f t="shared" si="15"/>
        <v>0.68870523415977958</v>
      </c>
      <c r="AC73" s="250">
        <f t="shared" si="16"/>
        <v>11.019283746556473</v>
      </c>
      <c r="AD73" s="257"/>
      <c r="AE73" s="258" t="s">
        <v>1029</v>
      </c>
      <c r="AF73" s="252">
        <v>6</v>
      </c>
      <c r="AG73" s="253" t="s">
        <v>541</v>
      </c>
      <c r="AH73" s="254" t="s">
        <v>1055</v>
      </c>
    </row>
    <row r="74" spans="1:34">
      <c r="A74" s="240" t="s">
        <v>854</v>
      </c>
      <c r="B74" s="255" t="s">
        <v>204</v>
      </c>
      <c r="C74" s="102" t="s">
        <v>106</v>
      </c>
      <c r="D74" s="395" t="s">
        <v>1094</v>
      </c>
      <c r="E74" s="397" t="s">
        <v>1094</v>
      </c>
      <c r="F74" s="397" t="s">
        <v>883</v>
      </c>
      <c r="G74" s="396" t="s">
        <v>1094</v>
      </c>
      <c r="H74" s="396" t="s">
        <v>1094</v>
      </c>
      <c r="I74" s="396" t="s">
        <v>883</v>
      </c>
      <c r="J74" s="396" t="s">
        <v>883</v>
      </c>
      <c r="K74" s="248">
        <f t="shared" si="12"/>
        <v>5.8593749999999998E-5</v>
      </c>
      <c r="L74" s="401" t="s">
        <v>1094</v>
      </c>
      <c r="M74" s="401" t="s">
        <v>1094</v>
      </c>
      <c r="N74" s="401" t="s">
        <v>1094</v>
      </c>
      <c r="O74" s="401" t="s">
        <v>1094</v>
      </c>
      <c r="P74" s="401" t="s">
        <v>1094</v>
      </c>
      <c r="Q74" s="401" t="s">
        <v>1094</v>
      </c>
      <c r="R74" s="401" t="s">
        <v>1094</v>
      </c>
      <c r="S74" s="401" t="s">
        <v>1094</v>
      </c>
      <c r="T74" s="401" t="s">
        <v>1094</v>
      </c>
      <c r="U74" s="401" t="s">
        <v>1094</v>
      </c>
      <c r="V74" s="249">
        <f t="shared" si="13"/>
        <v>1.1910937500000001</v>
      </c>
      <c r="W74" s="260"/>
      <c r="X74" s="260"/>
      <c r="Y74" s="632">
        <f t="shared" si="14"/>
        <v>4.6875</v>
      </c>
      <c r="Z74" s="305">
        <v>75</v>
      </c>
      <c r="AA74" s="251">
        <v>80000</v>
      </c>
      <c r="AB74" s="250">
        <f t="shared" si="15"/>
        <v>1.8365472910927456</v>
      </c>
      <c r="AC74" s="250">
        <f t="shared" si="16"/>
        <v>29.38475665748393</v>
      </c>
      <c r="AD74" s="246"/>
      <c r="AE74" s="258" t="s">
        <v>1029</v>
      </c>
      <c r="AF74" s="252">
        <v>4</v>
      </c>
      <c r="AG74" s="253" t="s">
        <v>539</v>
      </c>
      <c r="AH74" s="254" t="s">
        <v>1059</v>
      </c>
    </row>
    <row r="75" spans="1:34">
      <c r="A75" s="240" t="s">
        <v>854</v>
      </c>
      <c r="B75" s="255" t="s">
        <v>203</v>
      </c>
      <c r="C75" s="102" t="s">
        <v>105</v>
      </c>
      <c r="D75" s="397" t="s">
        <v>883</v>
      </c>
      <c r="E75" s="395" t="s">
        <v>883</v>
      </c>
      <c r="F75" s="395" t="s">
        <v>1094</v>
      </c>
      <c r="G75" s="396" t="s">
        <v>1094</v>
      </c>
      <c r="H75" s="396" t="s">
        <v>1094</v>
      </c>
      <c r="I75" s="396" t="s">
        <v>1094</v>
      </c>
      <c r="J75" s="396" t="s">
        <v>1094</v>
      </c>
      <c r="K75" s="248">
        <f t="shared" si="12"/>
        <v>6.857142857142857E-4</v>
      </c>
      <c r="L75" s="401" t="s">
        <v>1094</v>
      </c>
      <c r="M75" s="401" t="s">
        <v>1094</v>
      </c>
      <c r="N75" s="401" t="s">
        <v>1094</v>
      </c>
      <c r="O75" s="401" t="s">
        <v>1094</v>
      </c>
      <c r="P75" s="401" t="s">
        <v>1094</v>
      </c>
      <c r="Q75" s="401" t="s">
        <v>1094</v>
      </c>
      <c r="R75" s="401" t="s">
        <v>1094</v>
      </c>
      <c r="S75" s="401" t="s">
        <v>1094</v>
      </c>
      <c r="T75" s="401" t="s">
        <v>1094</v>
      </c>
      <c r="U75" s="401" t="s">
        <v>1094</v>
      </c>
      <c r="V75" s="249">
        <f t="shared" si="13"/>
        <v>0.54449999999999998</v>
      </c>
      <c r="W75" s="260"/>
      <c r="X75" s="260"/>
      <c r="Y75" s="632">
        <f t="shared" si="14"/>
        <v>120</v>
      </c>
      <c r="Z75" s="305">
        <v>1920</v>
      </c>
      <c r="AA75" s="251">
        <v>175000</v>
      </c>
      <c r="AB75" s="250">
        <f t="shared" si="15"/>
        <v>4.0174471992653809</v>
      </c>
      <c r="AC75" s="250">
        <f t="shared" si="16"/>
        <v>64.279155188246094</v>
      </c>
      <c r="AD75" s="246"/>
      <c r="AE75" s="258" t="s">
        <v>1029</v>
      </c>
      <c r="AF75" s="252">
        <v>5</v>
      </c>
      <c r="AG75" s="253" t="s">
        <v>539</v>
      </c>
      <c r="AH75" s="254" t="s">
        <v>1059</v>
      </c>
    </row>
    <row r="76" spans="1:34">
      <c r="A76" s="240" t="s">
        <v>854</v>
      </c>
      <c r="B76" s="255" t="s">
        <v>282</v>
      </c>
      <c r="C76" s="102" t="s">
        <v>50</v>
      </c>
      <c r="D76" s="395" t="s">
        <v>1094</v>
      </c>
      <c r="E76" s="397" t="s">
        <v>883</v>
      </c>
      <c r="F76" s="397" t="s">
        <v>883</v>
      </c>
      <c r="G76" s="396" t="s">
        <v>1094</v>
      </c>
      <c r="H76" s="396" t="s">
        <v>1094</v>
      </c>
      <c r="I76" s="396" t="s">
        <v>883</v>
      </c>
      <c r="J76" s="396" t="s">
        <v>1094</v>
      </c>
      <c r="K76" s="248">
        <f t="shared" si="12"/>
        <v>2.3437499999999999E-3</v>
      </c>
      <c r="L76" s="401" t="s">
        <v>883</v>
      </c>
      <c r="M76" s="401" t="s">
        <v>883</v>
      </c>
      <c r="N76" s="401" t="s">
        <v>883</v>
      </c>
      <c r="O76" s="401" t="s">
        <v>883</v>
      </c>
      <c r="P76" s="401" t="s">
        <v>883</v>
      </c>
      <c r="Q76" s="401" t="s">
        <v>883</v>
      </c>
      <c r="R76" s="401" t="s">
        <v>883</v>
      </c>
      <c r="S76" s="401" t="s">
        <v>1094</v>
      </c>
      <c r="T76" s="401" t="s">
        <v>883</v>
      </c>
      <c r="U76" s="401" t="s">
        <v>883</v>
      </c>
      <c r="V76" s="249">
        <f t="shared" si="13"/>
        <v>7.9406249999999998</v>
      </c>
      <c r="W76" s="250"/>
      <c r="X76" s="250"/>
      <c r="Y76" s="632">
        <f t="shared" si="14"/>
        <v>28.125</v>
      </c>
      <c r="Z76" s="305">
        <v>450</v>
      </c>
      <c r="AA76" s="251">
        <v>12000</v>
      </c>
      <c r="AB76" s="250">
        <f t="shared" si="15"/>
        <v>0.27548209366391185</v>
      </c>
      <c r="AC76" s="250">
        <f t="shared" si="16"/>
        <v>4.4077134986225897</v>
      </c>
      <c r="AD76" s="245"/>
      <c r="AE76" s="258" t="s">
        <v>15</v>
      </c>
      <c r="AF76" s="252">
        <v>5</v>
      </c>
      <c r="AG76" s="253" t="s">
        <v>541</v>
      </c>
      <c r="AH76" s="254" t="s">
        <v>1055</v>
      </c>
    </row>
    <row r="77" spans="1:34">
      <c r="A77" s="506" t="s">
        <v>854</v>
      </c>
      <c r="B77" s="517" t="s">
        <v>11181</v>
      </c>
      <c r="C77" s="562" t="s">
        <v>1762</v>
      </c>
      <c r="D77" s="514" t="s">
        <v>883</v>
      </c>
      <c r="E77" s="506" t="s">
        <v>883</v>
      </c>
      <c r="F77" s="506" t="s">
        <v>1094</v>
      </c>
      <c r="G77" s="506" t="s">
        <v>883</v>
      </c>
      <c r="H77" s="506" t="s">
        <v>1094</v>
      </c>
      <c r="I77" s="506" t="s">
        <v>883</v>
      </c>
      <c r="J77" s="506" t="s">
        <v>1094</v>
      </c>
      <c r="K77" s="511">
        <f t="shared" si="12"/>
        <v>4.0000000000000001E-3</v>
      </c>
      <c r="L77" s="506" t="s">
        <v>1094</v>
      </c>
      <c r="M77" s="506" t="s">
        <v>1094</v>
      </c>
      <c r="N77" s="506" t="s">
        <v>1094</v>
      </c>
      <c r="O77" s="506" t="s">
        <v>1094</v>
      </c>
      <c r="P77" s="506" t="s">
        <v>1094</v>
      </c>
      <c r="Q77" s="506" t="s">
        <v>1094</v>
      </c>
      <c r="R77" s="506" t="s">
        <v>1094</v>
      </c>
      <c r="S77" s="506" t="s">
        <v>1094</v>
      </c>
      <c r="T77" s="506" t="s">
        <v>1094</v>
      </c>
      <c r="U77" s="506" t="s">
        <v>1094</v>
      </c>
      <c r="V77" s="513">
        <f t="shared" si="13"/>
        <v>12.705</v>
      </c>
      <c r="W77" s="566"/>
      <c r="X77" s="566"/>
      <c r="Y77" s="633">
        <v>30</v>
      </c>
      <c r="Z77" s="633">
        <v>450</v>
      </c>
      <c r="AA77" s="570">
        <v>7500</v>
      </c>
      <c r="AB77" s="514">
        <f t="shared" si="15"/>
        <v>0.17217630853994489</v>
      </c>
      <c r="AC77" s="514">
        <f t="shared" si="16"/>
        <v>2.7548209366391183</v>
      </c>
      <c r="AD77" s="517"/>
      <c r="AE77" s="517" t="s">
        <v>1028</v>
      </c>
      <c r="AF77" s="506">
        <v>8</v>
      </c>
      <c r="AG77" s="519" t="s">
        <v>541</v>
      </c>
      <c r="AH77" s="517"/>
    </row>
    <row r="78" spans="1:34">
      <c r="A78" s="240" t="s">
        <v>854</v>
      </c>
      <c r="B78" s="247" t="s">
        <v>189</v>
      </c>
      <c r="C78" s="102" t="s">
        <v>90</v>
      </c>
      <c r="D78" s="397" t="s">
        <v>1094</v>
      </c>
      <c r="E78" s="397" t="s">
        <v>883</v>
      </c>
      <c r="F78" s="397" t="s">
        <v>883</v>
      </c>
      <c r="G78" s="396" t="s">
        <v>1094</v>
      </c>
      <c r="H78" s="396" t="s">
        <v>1094</v>
      </c>
      <c r="I78" s="396" t="s">
        <v>883</v>
      </c>
      <c r="J78" s="396" t="s">
        <v>883</v>
      </c>
      <c r="K78" s="248">
        <f t="shared" si="12"/>
        <v>1.25E-3</v>
      </c>
      <c r="L78" s="401" t="s">
        <v>883</v>
      </c>
      <c r="M78" s="401" t="s">
        <v>1094</v>
      </c>
      <c r="N78" s="401" t="s">
        <v>883</v>
      </c>
      <c r="O78" s="401" t="s">
        <v>883</v>
      </c>
      <c r="P78" s="401" t="s">
        <v>883</v>
      </c>
      <c r="Q78" s="401" t="s">
        <v>1094</v>
      </c>
      <c r="R78" s="401" t="s">
        <v>883</v>
      </c>
      <c r="S78" s="401" t="s">
        <v>883</v>
      </c>
      <c r="T78" s="401" t="s">
        <v>883</v>
      </c>
      <c r="U78" s="401" t="s">
        <v>1094</v>
      </c>
      <c r="V78" s="249">
        <f t="shared" si="13"/>
        <v>5.9554687500000005</v>
      </c>
      <c r="W78" s="250"/>
      <c r="X78" s="250"/>
      <c r="Y78" s="632">
        <f>SUM(Z78/16)</f>
        <v>20</v>
      </c>
      <c r="Z78" s="305">
        <v>320</v>
      </c>
      <c r="AA78" s="251">
        <v>16000</v>
      </c>
      <c r="AB78" s="250">
        <f t="shared" si="15"/>
        <v>0.3673094582185491</v>
      </c>
      <c r="AC78" s="250">
        <f t="shared" si="16"/>
        <v>5.8769513314967856</v>
      </c>
      <c r="AD78" s="245"/>
      <c r="AE78" s="258" t="s">
        <v>1032</v>
      </c>
      <c r="AF78" s="252">
        <v>7</v>
      </c>
      <c r="AG78" s="253" t="s">
        <v>540</v>
      </c>
      <c r="AH78" s="254" t="s">
        <v>1052</v>
      </c>
    </row>
    <row r="79" spans="1:34">
      <c r="A79" s="240" t="s">
        <v>854</v>
      </c>
      <c r="B79" s="255" t="s">
        <v>176</v>
      </c>
      <c r="C79" s="102" t="s">
        <v>79</v>
      </c>
      <c r="D79" s="397" t="s">
        <v>883</v>
      </c>
      <c r="E79" s="395" t="s">
        <v>883</v>
      </c>
      <c r="F79" s="395" t="s">
        <v>1094</v>
      </c>
      <c r="G79" s="396" t="s">
        <v>1094</v>
      </c>
      <c r="H79" s="396" t="s">
        <v>883</v>
      </c>
      <c r="I79" s="396" t="s">
        <v>1094</v>
      </c>
      <c r="J79" s="396" t="s">
        <v>883</v>
      </c>
      <c r="K79" s="248">
        <f t="shared" si="12"/>
        <v>4.2857142857142855E-4</v>
      </c>
      <c r="L79" s="401" t="s">
        <v>1094</v>
      </c>
      <c r="M79" s="401" t="s">
        <v>1094</v>
      </c>
      <c r="N79" s="401" t="s">
        <v>1094</v>
      </c>
      <c r="O79" s="401" t="s">
        <v>1094</v>
      </c>
      <c r="P79" s="401" t="s">
        <v>1094</v>
      </c>
      <c r="Q79" s="401" t="s">
        <v>1094</v>
      </c>
      <c r="R79" s="401" t="s">
        <v>1094</v>
      </c>
      <c r="S79" s="401" t="s">
        <v>1094</v>
      </c>
      <c r="T79" s="401" t="s">
        <v>1094</v>
      </c>
      <c r="U79" s="401" t="s">
        <v>1094</v>
      </c>
      <c r="V79" s="249">
        <f t="shared" si="13"/>
        <v>1.3612500000000001</v>
      </c>
      <c r="W79" s="250"/>
      <c r="X79" s="250"/>
      <c r="Y79" s="632">
        <f>SUM(Z79/16)</f>
        <v>30</v>
      </c>
      <c r="Z79" s="305">
        <v>480</v>
      </c>
      <c r="AA79" s="251">
        <v>70000</v>
      </c>
      <c r="AB79" s="250">
        <f t="shared" si="15"/>
        <v>1.6069788797061524</v>
      </c>
      <c r="AC79" s="250">
        <f t="shared" si="16"/>
        <v>25.711662075298438</v>
      </c>
      <c r="AD79" s="245"/>
      <c r="AE79" s="258" t="s">
        <v>1029</v>
      </c>
      <c r="AF79" s="252">
        <v>3</v>
      </c>
      <c r="AG79" s="253" t="s">
        <v>541</v>
      </c>
      <c r="AH79" s="254" t="s">
        <v>1052</v>
      </c>
    </row>
    <row r="80" spans="1:34">
      <c r="A80" s="240" t="s">
        <v>854</v>
      </c>
      <c r="B80" s="255" t="s">
        <v>186</v>
      </c>
      <c r="C80" s="102" t="s">
        <v>87</v>
      </c>
      <c r="D80" s="397" t="s">
        <v>883</v>
      </c>
      <c r="E80" s="395" t="s">
        <v>1094</v>
      </c>
      <c r="F80" s="395" t="s">
        <v>883</v>
      </c>
      <c r="G80" s="396" t="s">
        <v>883</v>
      </c>
      <c r="H80" s="396" t="s">
        <v>1094</v>
      </c>
      <c r="I80" s="396" t="s">
        <v>883</v>
      </c>
      <c r="J80" s="396" t="s">
        <v>1094</v>
      </c>
      <c r="K80" s="248">
        <f t="shared" si="12"/>
        <v>2E-3</v>
      </c>
      <c r="L80" s="401" t="s">
        <v>1094</v>
      </c>
      <c r="M80" s="401" t="s">
        <v>1094</v>
      </c>
      <c r="N80" s="401" t="s">
        <v>1094</v>
      </c>
      <c r="O80" s="401" t="s">
        <v>1094</v>
      </c>
      <c r="P80" s="401" t="s">
        <v>1094</v>
      </c>
      <c r="Q80" s="401" t="s">
        <v>1094</v>
      </c>
      <c r="R80" s="401" t="s">
        <v>1094</v>
      </c>
      <c r="S80" s="401" t="s">
        <v>1094</v>
      </c>
      <c r="T80" s="401" t="s">
        <v>1094</v>
      </c>
      <c r="U80" s="401" t="s">
        <v>1094</v>
      </c>
      <c r="V80" s="249">
        <f t="shared" si="13"/>
        <v>4.7643750000000002</v>
      </c>
      <c r="W80" s="250"/>
      <c r="X80" s="250"/>
      <c r="Y80" s="632">
        <f>SUM(Z80/16)</f>
        <v>40</v>
      </c>
      <c r="Z80" s="305">
        <v>640</v>
      </c>
      <c r="AA80" s="251">
        <v>20000</v>
      </c>
      <c r="AB80" s="250">
        <f t="shared" si="15"/>
        <v>0.4591368227731864</v>
      </c>
      <c r="AC80" s="250">
        <f t="shared" si="16"/>
        <v>7.3461891643709825</v>
      </c>
      <c r="AD80" s="245"/>
      <c r="AE80" s="258" t="s">
        <v>1028</v>
      </c>
      <c r="AF80" s="252">
        <v>7</v>
      </c>
      <c r="AG80" s="253" t="s">
        <v>540</v>
      </c>
      <c r="AH80" s="254" t="s">
        <v>1052</v>
      </c>
    </row>
    <row r="81" spans="1:34">
      <c r="A81" s="240" t="s">
        <v>854</v>
      </c>
      <c r="B81" s="255" t="s">
        <v>169</v>
      </c>
      <c r="C81" s="102" t="s">
        <v>69</v>
      </c>
      <c r="D81" s="397" t="s">
        <v>883</v>
      </c>
      <c r="E81" s="395" t="s">
        <v>883</v>
      </c>
      <c r="F81" s="395" t="s">
        <v>1094</v>
      </c>
      <c r="G81" s="396" t="s">
        <v>1094</v>
      </c>
      <c r="H81" s="396" t="s">
        <v>883</v>
      </c>
      <c r="I81" s="396" t="s">
        <v>1094</v>
      </c>
      <c r="J81" s="396" t="s">
        <v>883</v>
      </c>
      <c r="K81" s="248">
        <f t="shared" si="12"/>
        <v>4.0000000000000001E-3</v>
      </c>
      <c r="L81" s="401" t="s">
        <v>1094</v>
      </c>
      <c r="M81" s="401" t="s">
        <v>1094</v>
      </c>
      <c r="N81" s="401" t="s">
        <v>1094</v>
      </c>
      <c r="O81" s="401" t="s">
        <v>1094</v>
      </c>
      <c r="P81" s="401" t="s">
        <v>1094</v>
      </c>
      <c r="Q81" s="401" t="s">
        <v>1094</v>
      </c>
      <c r="R81" s="401" t="s">
        <v>1094</v>
      </c>
      <c r="S81" s="401" t="s">
        <v>1094</v>
      </c>
      <c r="T81" s="401" t="s">
        <v>1094</v>
      </c>
      <c r="U81" s="401" t="s">
        <v>1094</v>
      </c>
      <c r="V81" s="249">
        <f t="shared" si="13"/>
        <v>9.5287500000000005</v>
      </c>
      <c r="W81" s="250"/>
      <c r="X81" s="250"/>
      <c r="Y81" s="632">
        <f>SUM(Z81/16)</f>
        <v>40</v>
      </c>
      <c r="Z81" s="305">
        <v>640</v>
      </c>
      <c r="AA81" s="251">
        <v>10000</v>
      </c>
      <c r="AB81" s="250">
        <f t="shared" si="15"/>
        <v>0.2295684113865932</v>
      </c>
      <c r="AC81" s="250">
        <f t="shared" si="16"/>
        <v>3.6730945821854912</v>
      </c>
      <c r="AD81" s="245"/>
      <c r="AE81" s="258" t="s">
        <v>1029</v>
      </c>
      <c r="AF81" s="252">
        <v>8</v>
      </c>
      <c r="AG81" s="253" t="s">
        <v>541</v>
      </c>
      <c r="AH81" s="254" t="s">
        <v>1055</v>
      </c>
    </row>
    <row r="82" spans="1:34">
      <c r="A82" s="240" t="s">
        <v>854</v>
      </c>
      <c r="B82" s="255" t="s">
        <v>163</v>
      </c>
      <c r="C82" s="102" t="s">
        <v>63</v>
      </c>
      <c r="D82" s="397" t="s">
        <v>883</v>
      </c>
      <c r="E82" s="395" t="s">
        <v>883</v>
      </c>
      <c r="F82" s="395" t="s">
        <v>1094</v>
      </c>
      <c r="G82" s="396" t="s">
        <v>1094</v>
      </c>
      <c r="H82" s="396" t="s">
        <v>1094</v>
      </c>
      <c r="I82" s="396" t="s">
        <v>1094</v>
      </c>
      <c r="J82" s="396" t="s">
        <v>883</v>
      </c>
      <c r="K82" s="248">
        <f t="shared" si="12"/>
        <v>4.4117647058823531E-4</v>
      </c>
      <c r="L82" s="401" t="s">
        <v>1094</v>
      </c>
      <c r="M82" s="401" t="s">
        <v>1094</v>
      </c>
      <c r="N82" s="401" t="s">
        <v>1094</v>
      </c>
      <c r="O82" s="401" t="s">
        <v>1094</v>
      </c>
      <c r="P82" s="401" t="s">
        <v>1094</v>
      </c>
      <c r="Q82" s="401" t="s">
        <v>1094</v>
      </c>
      <c r="R82" s="401" t="s">
        <v>1094</v>
      </c>
      <c r="S82" s="401" t="s">
        <v>1094</v>
      </c>
      <c r="T82" s="401" t="s">
        <v>1094</v>
      </c>
      <c r="U82" s="401" t="s">
        <v>1094</v>
      </c>
      <c r="V82" s="249">
        <f t="shared" si="13"/>
        <v>2.8025735294117644</v>
      </c>
      <c r="W82" s="250"/>
      <c r="X82" s="250"/>
      <c r="Y82" s="632">
        <v>15</v>
      </c>
      <c r="Z82" s="305">
        <v>225</v>
      </c>
      <c r="AA82" s="251">
        <v>34000</v>
      </c>
      <c r="AB82" s="250">
        <f t="shared" si="15"/>
        <v>0.78053259871441694</v>
      </c>
      <c r="AC82" s="250">
        <f t="shared" si="16"/>
        <v>12.488521579430671</v>
      </c>
      <c r="AD82" s="245"/>
      <c r="AE82" s="258" t="s">
        <v>1028</v>
      </c>
      <c r="AF82" s="252">
        <v>5</v>
      </c>
      <c r="AG82" s="253" t="s">
        <v>541</v>
      </c>
      <c r="AH82" s="254" t="s">
        <v>1055</v>
      </c>
    </row>
    <row r="83" spans="1:34">
      <c r="A83" s="240" t="s">
        <v>854</v>
      </c>
      <c r="B83" s="247" t="s">
        <v>216</v>
      </c>
      <c r="C83" s="102" t="s">
        <v>116</v>
      </c>
      <c r="D83" s="398" t="s">
        <v>883</v>
      </c>
      <c r="E83" s="398" t="s">
        <v>883</v>
      </c>
      <c r="F83" s="397" t="s">
        <v>1094</v>
      </c>
      <c r="G83" s="396" t="s">
        <v>883</v>
      </c>
      <c r="H83" s="396" t="s">
        <v>883</v>
      </c>
      <c r="I83" s="396" t="s">
        <v>1094</v>
      </c>
      <c r="J83" s="396" t="s">
        <v>883</v>
      </c>
      <c r="K83" s="248">
        <f t="shared" si="12"/>
        <v>8.1521739130434775E-6</v>
      </c>
      <c r="L83" s="401" t="s">
        <v>883</v>
      </c>
      <c r="M83" s="401" t="s">
        <v>1094</v>
      </c>
      <c r="N83" s="401" t="s">
        <v>883</v>
      </c>
      <c r="O83" s="401" t="s">
        <v>1094</v>
      </c>
      <c r="P83" s="401" t="s">
        <v>1094</v>
      </c>
      <c r="Q83" s="401" t="s">
        <v>883</v>
      </c>
      <c r="R83" s="401" t="s">
        <v>883</v>
      </c>
      <c r="S83" s="401" t="s">
        <v>1094</v>
      </c>
      <c r="T83" s="401" t="s">
        <v>883</v>
      </c>
      <c r="U83" s="401" t="s">
        <v>883</v>
      </c>
      <c r="V83" s="249">
        <f t="shared" si="13"/>
        <v>0.20714673913043477</v>
      </c>
      <c r="W83" s="260"/>
      <c r="X83" s="260"/>
      <c r="Y83" s="632">
        <f t="shared" ref="Y83:Y103" si="17">SUM(Z83/16)</f>
        <v>3.75</v>
      </c>
      <c r="Z83" s="305">
        <v>60</v>
      </c>
      <c r="AA83" s="251">
        <v>460000</v>
      </c>
      <c r="AB83" s="250">
        <f t="shared" si="15"/>
        <v>10.560146923783288</v>
      </c>
      <c r="AC83" s="250">
        <f t="shared" si="16"/>
        <v>168.9623507805326</v>
      </c>
      <c r="AD83" s="246"/>
      <c r="AE83" s="258" t="s">
        <v>1029</v>
      </c>
      <c r="AF83" s="252">
        <v>8</v>
      </c>
      <c r="AG83" s="253" t="s">
        <v>544</v>
      </c>
      <c r="AH83" s="259" t="s">
        <v>1055</v>
      </c>
    </row>
    <row r="84" spans="1:34">
      <c r="A84" s="240" t="s">
        <v>854</v>
      </c>
      <c r="B84" s="255" t="s">
        <v>155</v>
      </c>
      <c r="C84" s="102" t="s">
        <v>53</v>
      </c>
      <c r="D84" s="395" t="s">
        <v>1094</v>
      </c>
      <c r="E84" s="395" t="s">
        <v>1094</v>
      </c>
      <c r="F84" s="395" t="s">
        <v>883</v>
      </c>
      <c r="G84" s="396" t="s">
        <v>883</v>
      </c>
      <c r="H84" s="396" t="s">
        <v>1094</v>
      </c>
      <c r="I84" s="396" t="s">
        <v>883</v>
      </c>
      <c r="J84" s="396" t="s">
        <v>1094</v>
      </c>
      <c r="K84" s="248">
        <f t="shared" si="12"/>
        <v>0.01</v>
      </c>
      <c r="L84" s="401" t="s">
        <v>1094</v>
      </c>
      <c r="M84" s="401" t="s">
        <v>1094</v>
      </c>
      <c r="N84" s="401" t="s">
        <v>1094</v>
      </c>
      <c r="O84" s="401" t="s">
        <v>1094</v>
      </c>
      <c r="P84" s="401" t="s">
        <v>1094</v>
      </c>
      <c r="Q84" s="401" t="s">
        <v>1094</v>
      </c>
      <c r="R84" s="401" t="s">
        <v>1094</v>
      </c>
      <c r="S84" s="401" t="s">
        <v>1094</v>
      </c>
      <c r="T84" s="401" t="s">
        <v>1094</v>
      </c>
      <c r="U84" s="401" t="s">
        <v>1094</v>
      </c>
      <c r="V84" s="249">
        <f t="shared" si="13"/>
        <v>3.17625</v>
      </c>
      <c r="W84" s="250"/>
      <c r="X84" s="250"/>
      <c r="Y84" s="632">
        <f t="shared" si="17"/>
        <v>300</v>
      </c>
      <c r="Z84" s="305">
        <v>4800</v>
      </c>
      <c r="AA84" s="251">
        <v>30000</v>
      </c>
      <c r="AB84" s="250">
        <f t="shared" si="15"/>
        <v>0.68870523415977958</v>
      </c>
      <c r="AC84" s="250">
        <f t="shared" si="16"/>
        <v>11.019283746556473</v>
      </c>
      <c r="AD84" s="245"/>
      <c r="AE84" s="258" t="s">
        <v>1029</v>
      </c>
      <c r="AF84" s="252">
        <v>6</v>
      </c>
      <c r="AG84" s="253" t="s">
        <v>541</v>
      </c>
      <c r="AH84" s="254" t="s">
        <v>1014</v>
      </c>
    </row>
    <row r="85" spans="1:34">
      <c r="A85" s="240" t="s">
        <v>854</v>
      </c>
      <c r="B85" s="255" t="s">
        <v>201</v>
      </c>
      <c r="C85" s="102" t="s">
        <v>103</v>
      </c>
      <c r="D85" s="395" t="s">
        <v>1094</v>
      </c>
      <c r="E85" s="397" t="s">
        <v>883</v>
      </c>
      <c r="F85" s="397" t="s">
        <v>883</v>
      </c>
      <c r="G85" s="396" t="s">
        <v>1094</v>
      </c>
      <c r="H85" s="396" t="s">
        <v>883</v>
      </c>
      <c r="I85" s="396" t="s">
        <v>883</v>
      </c>
      <c r="J85" s="396" t="s">
        <v>883</v>
      </c>
      <c r="K85" s="248">
        <f t="shared" si="12"/>
        <v>6.6666666666666664E-4</v>
      </c>
      <c r="L85" s="401" t="s">
        <v>883</v>
      </c>
      <c r="M85" s="401" t="s">
        <v>1094</v>
      </c>
      <c r="N85" s="401" t="s">
        <v>883</v>
      </c>
      <c r="O85" s="401" t="s">
        <v>1094</v>
      </c>
      <c r="P85" s="401" t="s">
        <v>1094</v>
      </c>
      <c r="Q85" s="401" t="s">
        <v>1094</v>
      </c>
      <c r="R85" s="401" t="s">
        <v>883</v>
      </c>
      <c r="S85" s="401" t="s">
        <v>883</v>
      </c>
      <c r="T85" s="401" t="s">
        <v>1094</v>
      </c>
      <c r="U85" s="401" t="s">
        <v>1094</v>
      </c>
      <c r="V85" s="249">
        <f t="shared" si="13"/>
        <v>0.52937500000000004</v>
      </c>
      <c r="W85" s="260"/>
      <c r="X85" s="260"/>
      <c r="Y85" s="632">
        <f t="shared" si="17"/>
        <v>120</v>
      </c>
      <c r="Z85" s="305">
        <v>1920</v>
      </c>
      <c r="AA85" s="251">
        <v>180000</v>
      </c>
      <c r="AB85" s="250">
        <f t="shared" si="15"/>
        <v>4.1322314049586772</v>
      </c>
      <c r="AC85" s="250">
        <f t="shared" si="16"/>
        <v>66.115702479338836</v>
      </c>
      <c r="AD85" s="246"/>
      <c r="AE85" s="258" t="s">
        <v>1028</v>
      </c>
      <c r="AF85" s="252">
        <v>10</v>
      </c>
      <c r="AG85" s="253" t="s">
        <v>539</v>
      </c>
      <c r="AH85" s="254" t="s">
        <v>1057</v>
      </c>
    </row>
    <row r="86" spans="1:34">
      <c r="A86" s="240" t="s">
        <v>854</v>
      </c>
      <c r="B86" s="255" t="s">
        <v>190</v>
      </c>
      <c r="C86" s="102" t="s">
        <v>1086</v>
      </c>
      <c r="D86" s="395" t="s">
        <v>1094</v>
      </c>
      <c r="E86" s="397" t="s">
        <v>883</v>
      </c>
      <c r="F86" s="397" t="s">
        <v>883</v>
      </c>
      <c r="G86" s="396" t="s">
        <v>1094</v>
      </c>
      <c r="H86" s="396" t="s">
        <v>1094</v>
      </c>
      <c r="I86" s="396" t="s">
        <v>883</v>
      </c>
      <c r="J86" s="396" t="s">
        <v>883</v>
      </c>
      <c r="K86" s="248">
        <f t="shared" si="12"/>
        <v>1.1029411764705883E-2</v>
      </c>
      <c r="L86" s="401" t="s">
        <v>1094</v>
      </c>
      <c r="M86" s="401" t="s">
        <v>1094</v>
      </c>
      <c r="N86" s="401" t="s">
        <v>1094</v>
      </c>
      <c r="O86" s="401" t="s">
        <v>1094</v>
      </c>
      <c r="P86" s="401" t="s">
        <v>1094</v>
      </c>
      <c r="Q86" s="401" t="s">
        <v>1094</v>
      </c>
      <c r="R86" s="401" t="s">
        <v>1094</v>
      </c>
      <c r="S86" s="401" t="s">
        <v>1094</v>
      </c>
      <c r="T86" s="401" t="s">
        <v>1094</v>
      </c>
      <c r="U86" s="401" t="s">
        <v>1094</v>
      </c>
      <c r="V86" s="249">
        <f t="shared" si="13"/>
        <v>140.12867647058823</v>
      </c>
      <c r="W86" s="250"/>
      <c r="X86" s="250"/>
      <c r="Y86" s="632">
        <f t="shared" si="17"/>
        <v>7.5</v>
      </c>
      <c r="Z86" s="305">
        <v>120</v>
      </c>
      <c r="AA86" s="251">
        <v>680</v>
      </c>
      <c r="AB86" s="250">
        <f t="shared" si="15"/>
        <v>1.5610651974288337E-2</v>
      </c>
      <c r="AC86" s="250">
        <f t="shared" si="16"/>
        <v>0.2497704315886134</v>
      </c>
      <c r="AD86" s="245"/>
      <c r="AE86" s="258" t="s">
        <v>1028</v>
      </c>
      <c r="AF86" s="252">
        <v>6</v>
      </c>
      <c r="AG86" s="253" t="s">
        <v>540</v>
      </c>
      <c r="AH86" s="254" t="s">
        <v>1052</v>
      </c>
    </row>
    <row r="87" spans="1:34">
      <c r="A87" s="240" t="s">
        <v>854</v>
      </c>
      <c r="B87" s="255" t="s">
        <v>173</v>
      </c>
      <c r="C87" s="102" t="s">
        <v>74</v>
      </c>
      <c r="D87" s="395" t="s">
        <v>1094</v>
      </c>
      <c r="E87" s="397" t="s">
        <v>883</v>
      </c>
      <c r="F87" s="397" t="s">
        <v>883</v>
      </c>
      <c r="G87" s="396" t="s">
        <v>883</v>
      </c>
      <c r="H87" s="396" t="s">
        <v>1094</v>
      </c>
      <c r="I87" s="396" t="s">
        <v>883</v>
      </c>
      <c r="J87" s="396" t="s">
        <v>1094</v>
      </c>
      <c r="K87" s="248">
        <f t="shared" si="12"/>
        <v>2.9999999999999997E-4</v>
      </c>
      <c r="L87" s="401" t="s">
        <v>1094</v>
      </c>
      <c r="M87" s="401" t="s">
        <v>1094</v>
      </c>
      <c r="N87" s="401" t="s">
        <v>1094</v>
      </c>
      <c r="O87" s="401" t="s">
        <v>1094</v>
      </c>
      <c r="P87" s="401" t="s">
        <v>1094</v>
      </c>
      <c r="Q87" s="401" t="s">
        <v>1094</v>
      </c>
      <c r="R87" s="401" t="s">
        <v>1094</v>
      </c>
      <c r="S87" s="401" t="s">
        <v>1094</v>
      </c>
      <c r="T87" s="401" t="s">
        <v>1094</v>
      </c>
      <c r="U87" s="401" t="s">
        <v>1094</v>
      </c>
      <c r="V87" s="249">
        <f t="shared" si="13"/>
        <v>3.8115000000000001</v>
      </c>
      <c r="W87" s="250"/>
      <c r="X87" s="250"/>
      <c r="Y87" s="632">
        <f t="shared" si="17"/>
        <v>7.5</v>
      </c>
      <c r="Z87" s="305">
        <v>120</v>
      </c>
      <c r="AA87" s="251">
        <v>25000</v>
      </c>
      <c r="AB87" s="250">
        <f t="shared" si="15"/>
        <v>0.57392102846648296</v>
      </c>
      <c r="AC87" s="250">
        <f t="shared" si="16"/>
        <v>9.1827364554637274</v>
      </c>
      <c r="AD87" s="245"/>
      <c r="AE87" s="258" t="s">
        <v>1028</v>
      </c>
      <c r="AF87" s="252">
        <v>5</v>
      </c>
      <c r="AG87" s="253" t="s">
        <v>540</v>
      </c>
      <c r="AH87" s="254" t="s">
        <v>1011</v>
      </c>
    </row>
    <row r="88" spans="1:34">
      <c r="A88" s="240" t="s">
        <v>854</v>
      </c>
      <c r="B88" s="255" t="s">
        <v>198</v>
      </c>
      <c r="C88" s="102" t="s">
        <v>100</v>
      </c>
      <c r="D88" s="397" t="s">
        <v>883</v>
      </c>
      <c r="E88" s="395" t="s">
        <v>1094</v>
      </c>
      <c r="F88" s="395" t="s">
        <v>1094</v>
      </c>
      <c r="G88" s="396" t="s">
        <v>1094</v>
      </c>
      <c r="H88" s="396" t="s">
        <v>1094</v>
      </c>
      <c r="I88" s="396" t="s">
        <v>883</v>
      </c>
      <c r="J88" s="396" t="s">
        <v>1094</v>
      </c>
      <c r="K88" s="248">
        <f t="shared" si="12"/>
        <v>1.8749999999999998E-5</v>
      </c>
      <c r="L88" s="401" t="s">
        <v>1094</v>
      </c>
      <c r="M88" s="401" t="s">
        <v>1094</v>
      </c>
      <c r="N88" s="401" t="s">
        <v>1094</v>
      </c>
      <c r="O88" s="401" t="s">
        <v>1094</v>
      </c>
      <c r="P88" s="401" t="s">
        <v>1094</v>
      </c>
      <c r="Q88" s="401" t="s">
        <v>1094</v>
      </c>
      <c r="R88" s="401" t="s">
        <v>1094</v>
      </c>
      <c r="S88" s="401" t="s">
        <v>1094</v>
      </c>
      <c r="T88" s="401" t="s">
        <v>1094</v>
      </c>
      <c r="U88" s="401" t="s">
        <v>1094</v>
      </c>
      <c r="V88" s="249">
        <f t="shared" si="13"/>
        <v>9.5287499999999997E-2</v>
      </c>
      <c r="W88" s="260"/>
      <c r="X88" s="260"/>
      <c r="Y88" s="632">
        <f t="shared" si="17"/>
        <v>18.75</v>
      </c>
      <c r="Z88" s="305">
        <v>300</v>
      </c>
      <c r="AA88" s="251">
        <v>1000000</v>
      </c>
      <c r="AB88" s="250">
        <f t="shared" si="15"/>
        <v>22.956841138659321</v>
      </c>
      <c r="AC88" s="250">
        <f t="shared" si="16"/>
        <v>367.30945821854914</v>
      </c>
      <c r="AD88" s="246"/>
      <c r="AE88" s="258" t="s">
        <v>1028</v>
      </c>
      <c r="AF88" s="252">
        <v>0</v>
      </c>
      <c r="AG88" s="253" t="s">
        <v>545</v>
      </c>
      <c r="AH88" s="254" t="s">
        <v>1055</v>
      </c>
    </row>
    <row r="89" spans="1:34">
      <c r="A89" s="240" t="s">
        <v>854</v>
      </c>
      <c r="B89" s="255" t="s">
        <v>217</v>
      </c>
      <c r="C89" s="102" t="s">
        <v>874</v>
      </c>
      <c r="D89" s="397" t="s">
        <v>883</v>
      </c>
      <c r="E89" s="395" t="s">
        <v>883</v>
      </c>
      <c r="F89" s="395" t="s">
        <v>1094</v>
      </c>
      <c r="G89" s="396" t="s">
        <v>1094</v>
      </c>
      <c r="H89" s="396" t="s">
        <v>1094</v>
      </c>
      <c r="I89" s="396" t="s">
        <v>1094</v>
      </c>
      <c r="J89" s="396" t="s">
        <v>883</v>
      </c>
      <c r="K89" s="248">
        <f t="shared" si="12"/>
        <v>8.5227272727272723E-4</v>
      </c>
      <c r="L89" s="401" t="s">
        <v>1094</v>
      </c>
      <c r="M89" s="401" t="s">
        <v>1094</v>
      </c>
      <c r="N89" s="401" t="s">
        <v>1094</v>
      </c>
      <c r="O89" s="401" t="s">
        <v>1094</v>
      </c>
      <c r="P89" s="401" t="s">
        <v>1094</v>
      </c>
      <c r="Q89" s="401" t="s">
        <v>1094</v>
      </c>
      <c r="R89" s="401" t="s">
        <v>1094</v>
      </c>
      <c r="S89" s="401" t="s">
        <v>1094</v>
      </c>
      <c r="T89" s="401" t="s">
        <v>1094</v>
      </c>
      <c r="U89" s="401" t="s">
        <v>1094</v>
      </c>
      <c r="V89" s="249">
        <f t="shared" si="13"/>
        <v>14.4375</v>
      </c>
      <c r="W89" s="260"/>
      <c r="X89" s="260"/>
      <c r="Y89" s="632">
        <f t="shared" si="17"/>
        <v>5.625</v>
      </c>
      <c r="Z89" s="305">
        <v>90</v>
      </c>
      <c r="AA89" s="251">
        <v>6600</v>
      </c>
      <c r="AB89" s="250">
        <f t="shared" si="15"/>
        <v>0.15151515151515152</v>
      </c>
      <c r="AC89" s="250">
        <f t="shared" si="16"/>
        <v>2.4242424242424243</v>
      </c>
      <c r="AD89" s="246"/>
      <c r="AE89" s="258" t="s">
        <v>1029</v>
      </c>
      <c r="AF89" s="252">
        <v>4</v>
      </c>
      <c r="AG89" s="253" t="s">
        <v>539</v>
      </c>
      <c r="AH89" s="254" t="s">
        <v>1058</v>
      </c>
    </row>
    <row r="90" spans="1:34">
      <c r="A90" s="240" t="s">
        <v>854</v>
      </c>
      <c r="B90" s="255" t="s">
        <v>220</v>
      </c>
      <c r="C90" s="102" t="s">
        <v>869</v>
      </c>
      <c r="D90" s="395" t="s">
        <v>1094</v>
      </c>
      <c r="E90" s="397" t="s">
        <v>1094</v>
      </c>
      <c r="F90" s="397" t="s">
        <v>883</v>
      </c>
      <c r="G90" s="396" t="s">
        <v>1094</v>
      </c>
      <c r="H90" s="396" t="s">
        <v>1094</v>
      </c>
      <c r="I90" s="396" t="s">
        <v>883</v>
      </c>
      <c r="J90" s="396" t="s">
        <v>883</v>
      </c>
      <c r="K90" s="248">
        <f t="shared" si="12"/>
        <v>7.0312499999999997E-4</v>
      </c>
      <c r="L90" s="401" t="s">
        <v>1094</v>
      </c>
      <c r="M90" s="401" t="s">
        <v>1094</v>
      </c>
      <c r="N90" s="401" t="s">
        <v>1094</v>
      </c>
      <c r="O90" s="401" t="s">
        <v>1094</v>
      </c>
      <c r="P90" s="401" t="s">
        <v>1094</v>
      </c>
      <c r="Q90" s="401" t="s">
        <v>1094</v>
      </c>
      <c r="R90" s="401" t="s">
        <v>1094</v>
      </c>
      <c r="S90" s="401" t="s">
        <v>1094</v>
      </c>
      <c r="T90" s="401" t="s">
        <v>1094</v>
      </c>
      <c r="U90" s="401" t="s">
        <v>1094</v>
      </c>
      <c r="V90" s="249">
        <f t="shared" si="13"/>
        <v>5.9554687500000005</v>
      </c>
      <c r="W90" s="260"/>
      <c r="X90" s="260"/>
      <c r="Y90" s="632">
        <f t="shared" si="17"/>
        <v>11.25</v>
      </c>
      <c r="Z90" s="305">
        <v>180</v>
      </c>
      <c r="AA90" s="251">
        <v>16000</v>
      </c>
      <c r="AB90" s="250">
        <f t="shared" si="15"/>
        <v>0.3673094582185491</v>
      </c>
      <c r="AC90" s="250">
        <f t="shared" si="16"/>
        <v>5.8769513314967856</v>
      </c>
      <c r="AD90" s="246"/>
      <c r="AE90" s="258" t="s">
        <v>1028</v>
      </c>
      <c r="AF90" s="252">
        <v>9</v>
      </c>
      <c r="AG90" s="253" t="s">
        <v>539</v>
      </c>
      <c r="AH90" s="254" t="s">
        <v>1058</v>
      </c>
    </row>
    <row r="91" spans="1:34">
      <c r="A91" s="240" t="s">
        <v>854</v>
      </c>
      <c r="B91" s="255" t="s">
        <v>199</v>
      </c>
      <c r="C91" s="102" t="s">
        <v>1071</v>
      </c>
      <c r="D91" s="395" t="s">
        <v>1094</v>
      </c>
      <c r="E91" s="395" t="s">
        <v>1094</v>
      </c>
      <c r="F91" s="397" t="s">
        <v>883</v>
      </c>
      <c r="G91" s="396" t="s">
        <v>1094</v>
      </c>
      <c r="H91" s="396" t="s">
        <v>1094</v>
      </c>
      <c r="I91" s="396" t="s">
        <v>883</v>
      </c>
      <c r="J91" s="396" t="s">
        <v>883</v>
      </c>
      <c r="K91" s="248">
        <f t="shared" si="12"/>
        <v>2.34375E-5</v>
      </c>
      <c r="L91" s="401" t="s">
        <v>1094</v>
      </c>
      <c r="M91" s="401" t="s">
        <v>1094</v>
      </c>
      <c r="N91" s="401" t="s">
        <v>1094</v>
      </c>
      <c r="O91" s="401" t="s">
        <v>1094</v>
      </c>
      <c r="P91" s="401" t="s">
        <v>1094</v>
      </c>
      <c r="Q91" s="401" t="s">
        <v>1094</v>
      </c>
      <c r="R91" s="401" t="s">
        <v>1094</v>
      </c>
      <c r="S91" s="401" t="s">
        <v>1094</v>
      </c>
      <c r="T91" s="401" t="s">
        <v>1094</v>
      </c>
      <c r="U91" s="401" t="s">
        <v>1094</v>
      </c>
      <c r="V91" s="249">
        <f t="shared" si="13"/>
        <v>0.47643750000000001</v>
      </c>
      <c r="W91" s="260"/>
      <c r="X91" s="260"/>
      <c r="Y91" s="632">
        <f t="shared" si="17"/>
        <v>4.6875</v>
      </c>
      <c r="Z91" s="305">
        <v>75</v>
      </c>
      <c r="AA91" s="251">
        <v>200000</v>
      </c>
      <c r="AB91" s="250">
        <f t="shared" si="15"/>
        <v>4.5913682277318637</v>
      </c>
      <c r="AC91" s="250">
        <f t="shared" si="16"/>
        <v>73.461891643709819</v>
      </c>
      <c r="AD91" s="246"/>
      <c r="AE91" s="258" t="s">
        <v>1028</v>
      </c>
      <c r="AF91" s="252">
        <v>7</v>
      </c>
      <c r="AG91" s="253" t="s">
        <v>540</v>
      </c>
      <c r="AH91" s="254" t="s">
        <v>1059</v>
      </c>
    </row>
    <row r="92" spans="1:34">
      <c r="A92" s="240" t="s">
        <v>854</v>
      </c>
      <c r="B92" s="255" t="s">
        <v>128</v>
      </c>
      <c r="C92" s="102" t="s">
        <v>24</v>
      </c>
      <c r="D92" s="395" t="s">
        <v>1094</v>
      </c>
      <c r="E92" s="397" t="s">
        <v>883</v>
      </c>
      <c r="F92" s="397" t="s">
        <v>883</v>
      </c>
      <c r="G92" s="396" t="s">
        <v>1094</v>
      </c>
      <c r="H92" s="396" t="s">
        <v>1094</v>
      </c>
      <c r="I92" s="396" t="s">
        <v>883</v>
      </c>
      <c r="J92" s="396" t="s">
        <v>883</v>
      </c>
      <c r="K92" s="248">
        <f t="shared" si="12"/>
        <v>1.4598540145985401E-3</v>
      </c>
      <c r="L92" s="401" t="s">
        <v>1094</v>
      </c>
      <c r="M92" s="401" t="s">
        <v>1094</v>
      </c>
      <c r="N92" s="401" t="s">
        <v>1094</v>
      </c>
      <c r="O92" s="401" t="s">
        <v>1094</v>
      </c>
      <c r="P92" s="401" t="s">
        <v>1094</v>
      </c>
      <c r="Q92" s="401" t="s">
        <v>1094</v>
      </c>
      <c r="R92" s="401" t="s">
        <v>1094</v>
      </c>
      <c r="S92" s="401" t="s">
        <v>1094</v>
      </c>
      <c r="T92" s="401" t="s">
        <v>1094</v>
      </c>
      <c r="U92" s="401" t="s">
        <v>1094</v>
      </c>
      <c r="V92" s="249">
        <f t="shared" si="13"/>
        <v>5.5642335766423354</v>
      </c>
      <c r="W92" s="250"/>
      <c r="X92" s="250"/>
      <c r="Y92" s="632">
        <f t="shared" si="17"/>
        <v>25</v>
      </c>
      <c r="Z92" s="305">
        <v>400</v>
      </c>
      <c r="AA92" s="251">
        <v>17125</v>
      </c>
      <c r="AB92" s="250">
        <f t="shared" si="15"/>
        <v>0.39313590449954089</v>
      </c>
      <c r="AC92" s="250">
        <f t="shared" si="16"/>
        <v>6.2901744719926542</v>
      </c>
      <c r="AD92" s="257"/>
      <c r="AE92" s="258" t="s">
        <v>1029</v>
      </c>
      <c r="AF92" s="252">
        <v>7</v>
      </c>
      <c r="AG92" s="253" t="s">
        <v>539</v>
      </c>
      <c r="AH92" s="254" t="s">
        <v>1053</v>
      </c>
    </row>
    <row r="93" spans="1:34">
      <c r="A93" s="240" t="s">
        <v>854</v>
      </c>
      <c r="B93" s="255" t="s">
        <v>156</v>
      </c>
      <c r="C93" s="102" t="s">
        <v>54</v>
      </c>
      <c r="D93" s="397" t="s">
        <v>883</v>
      </c>
      <c r="E93" s="397" t="s">
        <v>883</v>
      </c>
      <c r="F93" s="395" t="s">
        <v>1094</v>
      </c>
      <c r="G93" s="396" t="s">
        <v>1094</v>
      </c>
      <c r="H93" s="396" t="s">
        <v>883</v>
      </c>
      <c r="I93" s="396" t="s">
        <v>1094</v>
      </c>
      <c r="J93" s="396" t="s">
        <v>883</v>
      </c>
      <c r="K93" s="248">
        <f t="shared" si="12"/>
        <v>1.4285714285714287E-4</v>
      </c>
      <c r="L93" s="401" t="s">
        <v>883</v>
      </c>
      <c r="M93" s="401" t="s">
        <v>1094</v>
      </c>
      <c r="N93" s="401" t="s">
        <v>1094</v>
      </c>
      <c r="O93" s="401" t="s">
        <v>883</v>
      </c>
      <c r="P93" s="401" t="s">
        <v>1094</v>
      </c>
      <c r="Q93" s="401" t="s">
        <v>1094</v>
      </c>
      <c r="R93" s="401" t="s">
        <v>883</v>
      </c>
      <c r="S93" s="401" t="s">
        <v>1094</v>
      </c>
      <c r="T93" s="401" t="s">
        <v>883</v>
      </c>
      <c r="U93" s="401" t="s">
        <v>883</v>
      </c>
      <c r="V93" s="249">
        <f t="shared" si="13"/>
        <v>1.1343750000000001</v>
      </c>
      <c r="W93" s="250"/>
      <c r="X93" s="250"/>
      <c r="Y93" s="632">
        <f t="shared" si="17"/>
        <v>12</v>
      </c>
      <c r="Z93" s="305">
        <v>192</v>
      </c>
      <c r="AA93" s="251">
        <v>84000</v>
      </c>
      <c r="AB93" s="250">
        <f t="shared" si="15"/>
        <v>1.9283746556473829</v>
      </c>
      <c r="AC93" s="250">
        <f t="shared" si="16"/>
        <v>30.853994490358126</v>
      </c>
      <c r="AD93" s="245"/>
      <c r="AE93" s="258" t="s">
        <v>1028</v>
      </c>
      <c r="AF93" s="252">
        <v>10</v>
      </c>
      <c r="AG93" s="253" t="s">
        <v>541</v>
      </c>
      <c r="AH93" s="254" t="s">
        <v>1055</v>
      </c>
    </row>
    <row r="94" spans="1:34">
      <c r="A94" s="506" t="s">
        <v>854</v>
      </c>
      <c r="B94" s="507" t="s">
        <v>11225</v>
      </c>
      <c r="C94" s="508" t="s">
        <v>1845</v>
      </c>
      <c r="D94" s="509" t="s">
        <v>883</v>
      </c>
      <c r="E94" s="509" t="s">
        <v>883</v>
      </c>
      <c r="F94" s="509" t="s">
        <v>1094</v>
      </c>
      <c r="G94" s="510" t="s">
        <v>1094</v>
      </c>
      <c r="H94" s="510" t="s">
        <v>1094</v>
      </c>
      <c r="I94" s="510" t="s">
        <v>1094</v>
      </c>
      <c r="J94" s="510" t="s">
        <v>883</v>
      </c>
      <c r="K94" s="248">
        <f t="shared" si="12"/>
        <v>0</v>
      </c>
      <c r="L94" s="512" t="s">
        <v>883</v>
      </c>
      <c r="M94" s="512" t="s">
        <v>883</v>
      </c>
      <c r="N94" s="512" t="s">
        <v>883</v>
      </c>
      <c r="O94" s="512" t="s">
        <v>1094</v>
      </c>
      <c r="P94" s="512" t="s">
        <v>1094</v>
      </c>
      <c r="Q94" s="512" t="s">
        <v>883</v>
      </c>
      <c r="R94" s="512" t="s">
        <v>883</v>
      </c>
      <c r="S94" s="512" t="s">
        <v>1094</v>
      </c>
      <c r="T94" s="512" t="s">
        <v>1094</v>
      </c>
      <c r="U94" s="512" t="s">
        <v>883</v>
      </c>
      <c r="V94" s="513">
        <f t="shared" si="13"/>
        <v>1.3444634139458758</v>
      </c>
      <c r="W94" s="514"/>
      <c r="X94" s="514"/>
      <c r="Y94" s="633">
        <f t="shared" si="17"/>
        <v>0</v>
      </c>
      <c r="Z94" s="634">
        <v>0</v>
      </c>
      <c r="AA94" s="515">
        <v>70874</v>
      </c>
      <c r="AB94" s="514">
        <f t="shared" si="15"/>
        <v>1.6270431588613408</v>
      </c>
      <c r="AC94" s="514">
        <f t="shared" si="16"/>
        <v>26.032690541781452</v>
      </c>
      <c r="AD94" s="517"/>
      <c r="AE94" s="517"/>
      <c r="AF94" s="518">
        <v>8</v>
      </c>
      <c r="AG94" s="519" t="s">
        <v>541</v>
      </c>
      <c r="AH94" s="520"/>
    </row>
    <row r="95" spans="1:34">
      <c r="A95" s="240" t="s">
        <v>854</v>
      </c>
      <c r="B95" s="255" t="s">
        <v>185</v>
      </c>
      <c r="C95" s="102" t="s">
        <v>86</v>
      </c>
      <c r="D95" s="395" t="s">
        <v>1094</v>
      </c>
      <c r="E95" s="398" t="s">
        <v>883</v>
      </c>
      <c r="F95" s="397" t="s">
        <v>883</v>
      </c>
      <c r="G95" s="396" t="s">
        <v>1094</v>
      </c>
      <c r="H95" s="396" t="s">
        <v>1094</v>
      </c>
      <c r="I95" s="396" t="s">
        <v>883</v>
      </c>
      <c r="J95" s="396" t="s">
        <v>883</v>
      </c>
      <c r="K95" s="248">
        <f t="shared" si="12"/>
        <v>1.7857142857142857E-4</v>
      </c>
      <c r="L95" s="401" t="s">
        <v>1094</v>
      </c>
      <c r="M95" s="401" t="s">
        <v>1094</v>
      </c>
      <c r="N95" s="401" t="s">
        <v>1094</v>
      </c>
      <c r="O95" s="401" t="s">
        <v>1094</v>
      </c>
      <c r="P95" s="401" t="s">
        <v>1094</v>
      </c>
      <c r="Q95" s="401" t="s">
        <v>1094</v>
      </c>
      <c r="R95" s="401" t="s">
        <v>1094</v>
      </c>
      <c r="S95" s="401" t="s">
        <v>1094</v>
      </c>
      <c r="T95" s="401" t="s">
        <v>1094</v>
      </c>
      <c r="U95" s="401" t="s">
        <v>1094</v>
      </c>
      <c r="V95" s="249">
        <f t="shared" si="13"/>
        <v>0.34031250000000002</v>
      </c>
      <c r="W95" s="250"/>
      <c r="X95" s="250"/>
      <c r="Y95" s="632">
        <f t="shared" si="17"/>
        <v>50</v>
      </c>
      <c r="Z95" s="305">
        <v>800</v>
      </c>
      <c r="AA95" s="251">
        <v>280000</v>
      </c>
      <c r="AB95" s="250">
        <f t="shared" si="15"/>
        <v>6.4279155188246095</v>
      </c>
      <c r="AC95" s="250">
        <f t="shared" si="16"/>
        <v>102.84664830119375</v>
      </c>
      <c r="AD95" s="245"/>
      <c r="AE95" s="258" t="s">
        <v>1029</v>
      </c>
      <c r="AF95" s="252">
        <v>2</v>
      </c>
      <c r="AG95" s="253" t="s">
        <v>539</v>
      </c>
      <c r="AH95" s="254" t="s">
        <v>1061</v>
      </c>
    </row>
    <row r="96" spans="1:34">
      <c r="A96" s="240" t="s">
        <v>854</v>
      </c>
      <c r="B96" s="255" t="s">
        <v>221</v>
      </c>
      <c r="C96" s="102" t="s">
        <v>118</v>
      </c>
      <c r="D96" s="395" t="s">
        <v>1094</v>
      </c>
      <c r="E96" s="397" t="s">
        <v>883</v>
      </c>
      <c r="F96" s="397" t="s">
        <v>883</v>
      </c>
      <c r="G96" s="396" t="s">
        <v>1094</v>
      </c>
      <c r="H96" s="396" t="s">
        <v>1094</v>
      </c>
      <c r="I96" s="396" t="s">
        <v>883</v>
      </c>
      <c r="J96" s="396" t="s">
        <v>883</v>
      </c>
      <c r="K96" s="248">
        <f t="shared" si="12"/>
        <v>4.8076923076923077E-5</v>
      </c>
      <c r="L96" s="401" t="s">
        <v>883</v>
      </c>
      <c r="M96" s="401" t="s">
        <v>1094</v>
      </c>
      <c r="N96" s="401" t="s">
        <v>883</v>
      </c>
      <c r="O96" s="401" t="s">
        <v>883</v>
      </c>
      <c r="P96" s="401" t="s">
        <v>883</v>
      </c>
      <c r="Q96" s="401" t="s">
        <v>883</v>
      </c>
      <c r="R96" s="401" t="s">
        <v>1094</v>
      </c>
      <c r="S96" s="401" t="s">
        <v>1094</v>
      </c>
      <c r="T96" s="401" t="s">
        <v>1094</v>
      </c>
      <c r="U96" s="401" t="s">
        <v>883</v>
      </c>
      <c r="V96" s="249">
        <f t="shared" si="13"/>
        <v>3.6649038461538463</v>
      </c>
      <c r="W96" s="260"/>
      <c r="X96" s="260"/>
      <c r="Y96" s="632">
        <f t="shared" si="17"/>
        <v>1.25</v>
      </c>
      <c r="Z96" s="305">
        <v>20</v>
      </c>
      <c r="AA96" s="251">
        <v>26000</v>
      </c>
      <c r="AB96" s="250">
        <f t="shared" si="15"/>
        <v>0.59687786960514233</v>
      </c>
      <c r="AC96" s="250">
        <f t="shared" si="16"/>
        <v>9.5500459136822773</v>
      </c>
      <c r="AD96" s="246"/>
      <c r="AE96" s="258" t="s">
        <v>1028</v>
      </c>
      <c r="AF96" s="252">
        <v>0</v>
      </c>
      <c r="AG96" s="253" t="s">
        <v>539</v>
      </c>
      <c r="AH96" s="254" t="s">
        <v>1052</v>
      </c>
    </row>
    <row r="97" spans="1:34">
      <c r="A97" s="240" t="s">
        <v>854</v>
      </c>
      <c r="B97" s="255" t="s">
        <v>165</v>
      </c>
      <c r="C97" s="102" t="s">
        <v>64</v>
      </c>
      <c r="D97" s="395" t="s">
        <v>883</v>
      </c>
      <c r="E97" s="395" t="s">
        <v>1094</v>
      </c>
      <c r="F97" s="397" t="s">
        <v>883</v>
      </c>
      <c r="G97" s="396" t="s">
        <v>883</v>
      </c>
      <c r="H97" s="396" t="s">
        <v>1094</v>
      </c>
      <c r="I97" s="396" t="s">
        <v>883</v>
      </c>
      <c r="J97" s="396" t="s">
        <v>1094</v>
      </c>
      <c r="K97" s="248">
        <f t="shared" si="12"/>
        <v>2E-3</v>
      </c>
      <c r="L97" s="401" t="s">
        <v>883</v>
      </c>
      <c r="M97" s="401" t="s">
        <v>1094</v>
      </c>
      <c r="N97" s="401" t="s">
        <v>883</v>
      </c>
      <c r="O97" s="401" t="s">
        <v>1094</v>
      </c>
      <c r="P97" s="401" t="s">
        <v>1094</v>
      </c>
      <c r="Q97" s="401" t="s">
        <v>1094</v>
      </c>
      <c r="R97" s="401" t="s">
        <v>1094</v>
      </c>
      <c r="S97" s="401" t="s">
        <v>883</v>
      </c>
      <c r="T97" s="401" t="s">
        <v>1094</v>
      </c>
      <c r="U97" s="401" t="s">
        <v>1094</v>
      </c>
      <c r="V97" s="249">
        <f t="shared" si="13"/>
        <v>4.7643750000000002</v>
      </c>
      <c r="W97" s="250"/>
      <c r="X97" s="250"/>
      <c r="Y97" s="632">
        <f t="shared" si="17"/>
        <v>40</v>
      </c>
      <c r="Z97" s="305">
        <v>640</v>
      </c>
      <c r="AA97" s="251">
        <v>20000</v>
      </c>
      <c r="AB97" s="250">
        <f t="shared" si="15"/>
        <v>0.4591368227731864</v>
      </c>
      <c r="AC97" s="250">
        <f t="shared" si="16"/>
        <v>7.3461891643709825</v>
      </c>
      <c r="AD97" s="245"/>
      <c r="AE97" s="258" t="s">
        <v>1028</v>
      </c>
      <c r="AF97" s="252">
        <v>8</v>
      </c>
      <c r="AG97" s="253" t="s">
        <v>541</v>
      </c>
      <c r="AH97" s="254" t="s">
        <v>1055</v>
      </c>
    </row>
    <row r="98" spans="1:34">
      <c r="A98" s="240" t="s">
        <v>854</v>
      </c>
      <c r="B98" s="255" t="s">
        <v>136</v>
      </c>
      <c r="C98" s="102" t="s">
        <v>34</v>
      </c>
      <c r="D98" s="397" t="s">
        <v>883</v>
      </c>
      <c r="E98" s="395" t="s">
        <v>883</v>
      </c>
      <c r="F98" s="395" t="s">
        <v>1094</v>
      </c>
      <c r="G98" s="396" t="s">
        <v>883</v>
      </c>
      <c r="H98" s="396" t="s">
        <v>1094</v>
      </c>
      <c r="I98" s="396" t="s">
        <v>1094</v>
      </c>
      <c r="J98" s="396" t="s">
        <v>1094</v>
      </c>
      <c r="K98" s="248">
        <f t="shared" si="12"/>
        <v>1.9230769230769232E-3</v>
      </c>
      <c r="L98" s="401" t="s">
        <v>883</v>
      </c>
      <c r="M98" s="401" t="s">
        <v>1094</v>
      </c>
      <c r="N98" s="401" t="s">
        <v>883</v>
      </c>
      <c r="O98" s="401" t="s">
        <v>883</v>
      </c>
      <c r="P98" s="401" t="s">
        <v>883</v>
      </c>
      <c r="Q98" s="401" t="s">
        <v>1094</v>
      </c>
      <c r="R98" s="401" t="s">
        <v>1094</v>
      </c>
      <c r="S98" s="401" t="s">
        <v>1094</v>
      </c>
      <c r="T98" s="401" t="s">
        <v>1094</v>
      </c>
      <c r="U98" s="401" t="s">
        <v>883</v>
      </c>
      <c r="V98" s="249">
        <f t="shared" si="13"/>
        <v>7.3298076923076927</v>
      </c>
      <c r="W98" s="250"/>
      <c r="X98" s="250"/>
      <c r="Y98" s="632">
        <f t="shared" si="17"/>
        <v>25</v>
      </c>
      <c r="Z98" s="305">
        <v>400</v>
      </c>
      <c r="AA98" s="251">
        <v>13000</v>
      </c>
      <c r="AB98" s="250">
        <f t="shared" si="15"/>
        <v>0.29843893480257117</v>
      </c>
      <c r="AC98" s="250">
        <f t="shared" si="16"/>
        <v>4.7750229568411386</v>
      </c>
      <c r="AD98" s="261"/>
      <c r="AE98" s="258" t="s">
        <v>1028</v>
      </c>
      <c r="AF98" s="252">
        <v>10</v>
      </c>
      <c r="AG98" s="253" t="s">
        <v>541</v>
      </c>
      <c r="AH98" s="254" t="s">
        <v>1055</v>
      </c>
    </row>
    <row r="99" spans="1:34">
      <c r="A99" s="240" t="s">
        <v>854</v>
      </c>
      <c r="B99" s="255" t="s">
        <v>200</v>
      </c>
      <c r="C99" s="102" t="s">
        <v>102</v>
      </c>
      <c r="D99" s="397" t="s">
        <v>883</v>
      </c>
      <c r="E99" s="395" t="s">
        <v>883</v>
      </c>
      <c r="F99" s="395" t="s">
        <v>1094</v>
      </c>
      <c r="G99" s="396" t="s">
        <v>1094</v>
      </c>
      <c r="H99" s="396" t="s">
        <v>1094</v>
      </c>
      <c r="I99" s="396" t="s">
        <v>1094</v>
      </c>
      <c r="J99" s="396" t="s">
        <v>1094</v>
      </c>
      <c r="K99" s="248">
        <f t="shared" si="12"/>
        <v>4.4117647058823531E-4</v>
      </c>
      <c r="L99" s="401" t="s">
        <v>1094</v>
      </c>
      <c r="M99" s="401" t="s">
        <v>1094</v>
      </c>
      <c r="N99" s="401" t="s">
        <v>1094</v>
      </c>
      <c r="O99" s="401" t="s">
        <v>1094</v>
      </c>
      <c r="P99" s="401" t="s">
        <v>1094</v>
      </c>
      <c r="Q99" s="401" t="s">
        <v>1094</v>
      </c>
      <c r="R99" s="401" t="s">
        <v>1094</v>
      </c>
      <c r="S99" s="401" t="s">
        <v>1094</v>
      </c>
      <c r="T99" s="401" t="s">
        <v>1094</v>
      </c>
      <c r="U99" s="401" t="s">
        <v>1094</v>
      </c>
      <c r="V99" s="249">
        <f t="shared" si="13"/>
        <v>2.8025735294117644</v>
      </c>
      <c r="W99" s="260"/>
      <c r="X99" s="260"/>
      <c r="Y99" s="632">
        <f t="shared" si="17"/>
        <v>15</v>
      </c>
      <c r="Z99" s="305">
        <v>240</v>
      </c>
      <c r="AA99" s="251">
        <v>34000</v>
      </c>
      <c r="AB99" s="250">
        <f t="shared" si="15"/>
        <v>0.78053259871441694</v>
      </c>
      <c r="AC99" s="250">
        <f t="shared" si="16"/>
        <v>12.488521579430671</v>
      </c>
      <c r="AD99" s="246"/>
      <c r="AE99" s="258" t="s">
        <v>1029</v>
      </c>
      <c r="AF99" s="252">
        <v>2</v>
      </c>
      <c r="AG99" s="253" t="s">
        <v>540</v>
      </c>
      <c r="AH99" s="254" t="s">
        <v>1058</v>
      </c>
    </row>
    <row r="100" spans="1:34">
      <c r="A100" s="240" t="s">
        <v>854</v>
      </c>
      <c r="B100" s="255" t="s">
        <v>211</v>
      </c>
      <c r="C100" s="102" t="s">
        <v>112</v>
      </c>
      <c r="D100" s="397" t="s">
        <v>883</v>
      </c>
      <c r="E100" s="397" t="s">
        <v>883</v>
      </c>
      <c r="F100" s="395" t="s">
        <v>1094</v>
      </c>
      <c r="G100" s="396" t="s">
        <v>883</v>
      </c>
      <c r="H100" s="396" t="s">
        <v>883</v>
      </c>
      <c r="I100" s="396" t="s">
        <v>1094</v>
      </c>
      <c r="J100" s="396" t="s">
        <v>883</v>
      </c>
      <c r="K100" s="248">
        <f t="shared" ref="K100:K131" si="18">Y100/AA100</f>
        <v>1.3081395348837209E-3</v>
      </c>
      <c r="L100" s="401" t="s">
        <v>1094</v>
      </c>
      <c r="M100" s="401" t="s">
        <v>1094</v>
      </c>
      <c r="N100" s="401" t="s">
        <v>1094</v>
      </c>
      <c r="O100" s="401" t="s">
        <v>1094</v>
      </c>
      <c r="P100" s="401" t="s">
        <v>1094</v>
      </c>
      <c r="Q100" s="401" t="s">
        <v>1094</v>
      </c>
      <c r="R100" s="401" t="s">
        <v>1094</v>
      </c>
      <c r="S100" s="401" t="s">
        <v>1094</v>
      </c>
      <c r="T100" s="401" t="s">
        <v>1094</v>
      </c>
      <c r="U100" s="401" t="s">
        <v>1094</v>
      </c>
      <c r="V100" s="249">
        <f t="shared" ref="V100:V110" si="19">35/AC100</f>
        <v>22.159883720930235</v>
      </c>
      <c r="W100" s="260"/>
      <c r="X100" s="260"/>
      <c r="Y100" s="632">
        <f t="shared" si="17"/>
        <v>5.625</v>
      </c>
      <c r="Z100" s="305">
        <v>90</v>
      </c>
      <c r="AA100" s="251">
        <v>4300</v>
      </c>
      <c r="AB100" s="250">
        <f t="shared" ref="AB100:AB131" si="20">AA100/43560</f>
        <v>9.8714416896235072E-2</v>
      </c>
      <c r="AC100" s="250">
        <f t="shared" ref="AC100:AC131" si="21">AB100*16</f>
        <v>1.5794306703397611</v>
      </c>
      <c r="AD100" s="246"/>
      <c r="AE100" s="258" t="s">
        <v>1029</v>
      </c>
      <c r="AF100" s="252">
        <v>5</v>
      </c>
      <c r="AG100" s="253" t="s">
        <v>541</v>
      </c>
      <c r="AH100" s="254" t="s">
        <v>1060</v>
      </c>
    </row>
    <row r="101" spans="1:34">
      <c r="A101" s="240" t="s">
        <v>854</v>
      </c>
      <c r="B101" s="255" t="s">
        <v>181</v>
      </c>
      <c r="C101" s="102" t="s">
        <v>83</v>
      </c>
      <c r="D101" s="397" t="s">
        <v>883</v>
      </c>
      <c r="E101" s="395" t="s">
        <v>1094</v>
      </c>
      <c r="F101" s="397" t="s">
        <v>883</v>
      </c>
      <c r="G101" s="396" t="s">
        <v>883</v>
      </c>
      <c r="H101" s="396" t="s">
        <v>1094</v>
      </c>
      <c r="I101" s="396" t="s">
        <v>883</v>
      </c>
      <c r="J101" s="396" t="s">
        <v>1094</v>
      </c>
      <c r="K101" s="248">
        <f t="shared" si="18"/>
        <v>3.2327586206896551E-3</v>
      </c>
      <c r="L101" s="401" t="s">
        <v>883</v>
      </c>
      <c r="M101" s="401" t="s">
        <v>1094</v>
      </c>
      <c r="N101" s="401" t="s">
        <v>883</v>
      </c>
      <c r="O101" s="401" t="s">
        <v>883</v>
      </c>
      <c r="P101" s="401" t="s">
        <v>1094</v>
      </c>
      <c r="Q101" s="401" t="s">
        <v>883</v>
      </c>
      <c r="R101" s="401" t="s">
        <v>883</v>
      </c>
      <c r="S101" s="401" t="s">
        <v>883</v>
      </c>
      <c r="T101" s="401" t="s">
        <v>883</v>
      </c>
      <c r="U101" s="401" t="s">
        <v>883</v>
      </c>
      <c r="V101" s="249">
        <f t="shared" si="19"/>
        <v>32.857758620689658</v>
      </c>
      <c r="W101" s="250"/>
      <c r="X101" s="250"/>
      <c r="Y101" s="632">
        <f t="shared" si="17"/>
        <v>9.375</v>
      </c>
      <c r="Z101" s="305">
        <v>150</v>
      </c>
      <c r="AA101" s="251">
        <v>2900</v>
      </c>
      <c r="AB101" s="250">
        <f t="shared" si="20"/>
        <v>6.6574839302112027E-2</v>
      </c>
      <c r="AC101" s="250">
        <f t="shared" si="21"/>
        <v>1.0651974288337924</v>
      </c>
      <c r="AD101" s="245"/>
      <c r="AE101" s="258" t="s">
        <v>1028</v>
      </c>
      <c r="AF101" s="252">
        <v>5</v>
      </c>
      <c r="AG101" s="253" t="s">
        <v>540</v>
      </c>
      <c r="AH101" s="254" t="s">
        <v>1053</v>
      </c>
    </row>
    <row r="102" spans="1:34">
      <c r="A102" s="240" t="s">
        <v>854</v>
      </c>
      <c r="B102" s="255" t="s">
        <v>158</v>
      </c>
      <c r="C102" s="102" t="s">
        <v>56</v>
      </c>
      <c r="D102" s="397" t="s">
        <v>1094</v>
      </c>
      <c r="E102" s="397" t="s">
        <v>1094</v>
      </c>
      <c r="F102" s="398" t="s">
        <v>883</v>
      </c>
      <c r="G102" s="396" t="s">
        <v>883</v>
      </c>
      <c r="H102" s="396" t="s">
        <v>883</v>
      </c>
      <c r="I102" s="396" t="s">
        <v>883</v>
      </c>
      <c r="J102" s="396" t="s">
        <v>1094</v>
      </c>
      <c r="K102" s="248">
        <f t="shared" si="18"/>
        <v>1.5094339622641509E-3</v>
      </c>
      <c r="L102" s="401" t="s">
        <v>883</v>
      </c>
      <c r="M102" s="401" t="s">
        <v>1094</v>
      </c>
      <c r="N102" s="401" t="s">
        <v>883</v>
      </c>
      <c r="O102" s="401" t="s">
        <v>883</v>
      </c>
      <c r="P102" s="401" t="s">
        <v>883</v>
      </c>
      <c r="Q102" s="401" t="s">
        <v>1094</v>
      </c>
      <c r="R102" s="401" t="s">
        <v>1094</v>
      </c>
      <c r="S102" s="401" t="s">
        <v>1094</v>
      </c>
      <c r="T102" s="401" t="s">
        <v>1094</v>
      </c>
      <c r="U102" s="401" t="s">
        <v>883</v>
      </c>
      <c r="V102" s="249">
        <f t="shared" si="19"/>
        <v>1.7978773584905661</v>
      </c>
      <c r="W102" s="250"/>
      <c r="X102" s="250"/>
      <c r="Y102" s="632">
        <f t="shared" si="17"/>
        <v>80</v>
      </c>
      <c r="Z102" s="305">
        <v>1280</v>
      </c>
      <c r="AA102" s="251">
        <v>53000</v>
      </c>
      <c r="AB102" s="250">
        <f t="shared" si="20"/>
        <v>1.216712580348944</v>
      </c>
      <c r="AC102" s="250">
        <f t="shared" si="21"/>
        <v>19.467401285583104</v>
      </c>
      <c r="AD102" s="245"/>
      <c r="AE102" s="258" t="s">
        <v>15</v>
      </c>
      <c r="AF102" s="252">
        <v>7</v>
      </c>
      <c r="AG102" s="253" t="s">
        <v>541</v>
      </c>
      <c r="AH102" s="254" t="s">
        <v>1055</v>
      </c>
    </row>
    <row r="103" spans="1:34">
      <c r="A103" s="240" t="s">
        <v>854</v>
      </c>
      <c r="B103" s="255" t="s">
        <v>218</v>
      </c>
      <c r="C103" s="102" t="s">
        <v>117</v>
      </c>
      <c r="D103" s="395" t="s">
        <v>1094</v>
      </c>
      <c r="E103" s="397" t="s">
        <v>883</v>
      </c>
      <c r="F103" s="397" t="s">
        <v>883</v>
      </c>
      <c r="G103" s="396" t="s">
        <v>1094</v>
      </c>
      <c r="H103" s="396" t="s">
        <v>1094</v>
      </c>
      <c r="I103" s="396" t="s">
        <v>883</v>
      </c>
      <c r="J103" s="396" t="s">
        <v>883</v>
      </c>
      <c r="K103" s="248">
        <f t="shared" si="18"/>
        <v>2.0833333333333333E-5</v>
      </c>
      <c r="L103" s="401" t="s">
        <v>1094</v>
      </c>
      <c r="M103" s="401" t="s">
        <v>1094</v>
      </c>
      <c r="N103" s="401" t="s">
        <v>1094</v>
      </c>
      <c r="O103" s="401" t="s">
        <v>1094</v>
      </c>
      <c r="P103" s="401" t="s">
        <v>1094</v>
      </c>
      <c r="Q103" s="401" t="s">
        <v>1094</v>
      </c>
      <c r="R103" s="401" t="s">
        <v>1094</v>
      </c>
      <c r="S103" s="401" t="s">
        <v>1094</v>
      </c>
      <c r="T103" s="401" t="s">
        <v>1094</v>
      </c>
      <c r="U103" s="401" t="s">
        <v>1094</v>
      </c>
      <c r="V103" s="249">
        <f t="shared" si="19"/>
        <v>3.17625</v>
      </c>
      <c r="W103" s="260"/>
      <c r="X103" s="260"/>
      <c r="Y103" s="632">
        <f t="shared" si="17"/>
        <v>0.625</v>
      </c>
      <c r="Z103" s="305">
        <v>10</v>
      </c>
      <c r="AA103" s="251">
        <v>30000</v>
      </c>
      <c r="AB103" s="250">
        <f t="shared" si="20"/>
        <v>0.68870523415977958</v>
      </c>
      <c r="AC103" s="250">
        <f t="shared" si="21"/>
        <v>11.019283746556473</v>
      </c>
      <c r="AD103" s="246"/>
      <c r="AE103" s="258" t="s">
        <v>1028</v>
      </c>
      <c r="AF103" s="252">
        <v>3</v>
      </c>
      <c r="AG103" s="253" t="s">
        <v>539</v>
      </c>
      <c r="AH103" s="254" t="s">
        <v>1058</v>
      </c>
    </row>
    <row r="104" spans="1:34">
      <c r="A104" s="506" t="s">
        <v>854</v>
      </c>
      <c r="B104" s="517" t="s">
        <v>11186</v>
      </c>
      <c r="C104" s="562" t="s">
        <v>11187</v>
      </c>
      <c r="D104" s="506" t="s">
        <v>883</v>
      </c>
      <c r="E104" s="506" t="s">
        <v>883</v>
      </c>
      <c r="F104" s="506" t="s">
        <v>1094</v>
      </c>
      <c r="G104" s="506" t="s">
        <v>1094</v>
      </c>
      <c r="H104" s="506" t="s">
        <v>1094</v>
      </c>
      <c r="I104" s="506" t="s">
        <v>1094</v>
      </c>
      <c r="J104" s="506" t="s">
        <v>883</v>
      </c>
      <c r="K104" s="511">
        <f t="shared" si="18"/>
        <v>6.4516129032258067E-5</v>
      </c>
      <c r="L104" s="506" t="s">
        <v>883</v>
      </c>
      <c r="M104" s="506" t="s">
        <v>1094</v>
      </c>
      <c r="N104" s="506" t="s">
        <v>883</v>
      </c>
      <c r="O104" s="506" t="s">
        <v>883</v>
      </c>
      <c r="P104" s="506" t="s">
        <v>1094</v>
      </c>
      <c r="Q104" s="506" t="s">
        <v>883</v>
      </c>
      <c r="R104" s="506" t="s">
        <v>1094</v>
      </c>
      <c r="S104" s="506" t="s">
        <v>1094</v>
      </c>
      <c r="T104" s="506" t="s">
        <v>1094</v>
      </c>
      <c r="U104" s="506" t="s">
        <v>883</v>
      </c>
      <c r="V104" s="513">
        <f t="shared" si="19"/>
        <v>0.30737903225806451</v>
      </c>
      <c r="W104" s="566"/>
      <c r="X104" s="566"/>
      <c r="Y104" s="633">
        <v>20</v>
      </c>
      <c r="Z104" s="633">
        <v>300</v>
      </c>
      <c r="AA104" s="570">
        <v>310000</v>
      </c>
      <c r="AB104" s="514">
        <f t="shared" si="20"/>
        <v>7.1166207529843897</v>
      </c>
      <c r="AC104" s="514">
        <f t="shared" si="21"/>
        <v>113.86593204775023</v>
      </c>
      <c r="AD104" s="517"/>
      <c r="AE104" s="517" t="s">
        <v>1029</v>
      </c>
      <c r="AF104" s="529">
        <v>1</v>
      </c>
      <c r="AG104" s="519" t="s">
        <v>541</v>
      </c>
      <c r="AH104" s="517"/>
    </row>
    <row r="105" spans="1:34">
      <c r="A105" s="240" t="s">
        <v>854</v>
      </c>
      <c r="B105" s="255" t="s">
        <v>219</v>
      </c>
      <c r="C105" s="102" t="s">
        <v>870</v>
      </c>
      <c r="D105" s="395" t="s">
        <v>1094</v>
      </c>
      <c r="E105" s="397" t="s">
        <v>883</v>
      </c>
      <c r="F105" s="397" t="s">
        <v>883</v>
      </c>
      <c r="G105" s="396" t="s">
        <v>1094</v>
      </c>
      <c r="H105" s="396" t="s">
        <v>1094</v>
      </c>
      <c r="I105" s="396" t="s">
        <v>883</v>
      </c>
      <c r="J105" s="396" t="s">
        <v>883</v>
      </c>
      <c r="K105" s="248">
        <f t="shared" si="18"/>
        <v>2.6785331638119454E-6</v>
      </c>
      <c r="L105" s="401" t="s">
        <v>1094</v>
      </c>
      <c r="M105" s="401" t="s">
        <v>1094</v>
      </c>
      <c r="N105" s="401" t="s">
        <v>1094</v>
      </c>
      <c r="O105" s="401" t="s">
        <v>1094</v>
      </c>
      <c r="P105" s="401" t="s">
        <v>1094</v>
      </c>
      <c r="Q105" s="401" t="s">
        <v>1094</v>
      </c>
      <c r="R105" s="401" t="s">
        <v>1094</v>
      </c>
      <c r="S105" s="401" t="s">
        <v>1094</v>
      </c>
      <c r="T105" s="401" t="s">
        <v>1094</v>
      </c>
      <c r="U105" s="401" t="s">
        <v>1094</v>
      </c>
      <c r="V105" s="249">
        <f t="shared" si="19"/>
        <v>0.27224611076984612</v>
      </c>
      <c r="W105" s="260"/>
      <c r="X105" s="260"/>
      <c r="Y105" s="632">
        <f>SUM(Z105/16)</f>
        <v>0.9375</v>
      </c>
      <c r="Z105" s="305">
        <v>15</v>
      </c>
      <c r="AA105" s="251">
        <v>350005</v>
      </c>
      <c r="AB105" s="250">
        <f t="shared" si="20"/>
        <v>8.0350091827364558</v>
      </c>
      <c r="AC105" s="250">
        <f t="shared" si="21"/>
        <v>128.56014692378329</v>
      </c>
      <c r="AD105" s="246"/>
      <c r="AE105" s="258" t="s">
        <v>1028</v>
      </c>
      <c r="AF105" s="252">
        <v>3</v>
      </c>
      <c r="AG105" s="253" t="s">
        <v>539</v>
      </c>
      <c r="AH105" s="254" t="s">
        <v>1011</v>
      </c>
    </row>
    <row r="106" spans="1:34">
      <c r="A106" s="240" t="s">
        <v>854</v>
      </c>
      <c r="B106" s="255" t="s">
        <v>12</v>
      </c>
      <c r="C106" s="102" t="s">
        <v>11</v>
      </c>
      <c r="D106" s="395" t="s">
        <v>1094</v>
      </c>
      <c r="E106" s="397" t="s">
        <v>1094</v>
      </c>
      <c r="F106" s="397" t="s">
        <v>883</v>
      </c>
      <c r="G106" s="396" t="s">
        <v>1094</v>
      </c>
      <c r="H106" s="396" t="s">
        <v>1094</v>
      </c>
      <c r="I106" s="396" t="s">
        <v>883</v>
      </c>
      <c r="J106" s="396" t="s">
        <v>883</v>
      </c>
      <c r="K106" s="248">
        <f t="shared" si="18"/>
        <v>5.2083333333333337E-5</v>
      </c>
      <c r="L106" s="401" t="s">
        <v>883</v>
      </c>
      <c r="M106" s="401" t="s">
        <v>1094</v>
      </c>
      <c r="N106" s="401" t="s">
        <v>1094</v>
      </c>
      <c r="O106" s="401" t="s">
        <v>883</v>
      </c>
      <c r="P106" s="401" t="s">
        <v>883</v>
      </c>
      <c r="Q106" s="401" t="s">
        <v>883</v>
      </c>
      <c r="R106" s="401" t="s">
        <v>1094</v>
      </c>
      <c r="S106" s="401" t="s">
        <v>1094</v>
      </c>
      <c r="T106" s="401" t="s">
        <v>1094</v>
      </c>
      <c r="U106" s="401" t="s">
        <v>1094</v>
      </c>
      <c r="V106" s="249">
        <f t="shared" si="19"/>
        <v>1.0587500000000001</v>
      </c>
      <c r="W106" s="250"/>
      <c r="X106" s="250"/>
      <c r="Y106" s="632">
        <f>SUM(Z106/16)</f>
        <v>4.6875</v>
      </c>
      <c r="Z106" s="305">
        <v>75</v>
      </c>
      <c r="AA106" s="251">
        <v>90000</v>
      </c>
      <c r="AB106" s="250">
        <f t="shared" si="20"/>
        <v>2.0661157024793386</v>
      </c>
      <c r="AC106" s="250">
        <f t="shared" si="21"/>
        <v>33.057851239669418</v>
      </c>
      <c r="AD106" s="245"/>
      <c r="AE106" s="258" t="s">
        <v>1028</v>
      </c>
      <c r="AF106" s="252">
        <v>2</v>
      </c>
      <c r="AG106" s="253" t="s">
        <v>539</v>
      </c>
      <c r="AH106" s="254" t="s">
        <v>1061</v>
      </c>
    </row>
    <row r="107" spans="1:34">
      <c r="A107" s="506" t="s">
        <v>854</v>
      </c>
      <c r="B107" s="507" t="s">
        <v>11224</v>
      </c>
      <c r="C107" s="508" t="s">
        <v>1810</v>
      </c>
      <c r="D107" s="509" t="s">
        <v>883</v>
      </c>
      <c r="E107" s="509"/>
      <c r="F107" s="509" t="s">
        <v>1094</v>
      </c>
      <c r="G107" s="510" t="s">
        <v>1094</v>
      </c>
      <c r="H107" s="510" t="s">
        <v>1094</v>
      </c>
      <c r="I107" s="510" t="s">
        <v>1094</v>
      </c>
      <c r="J107" s="510" t="s">
        <v>883</v>
      </c>
      <c r="K107" s="248">
        <f t="shared" si="18"/>
        <v>1.4634146341463415E-3</v>
      </c>
      <c r="L107" s="512" t="s">
        <v>1094</v>
      </c>
      <c r="M107" s="512" t="s">
        <v>1094</v>
      </c>
      <c r="N107" s="512" t="s">
        <v>1094</v>
      </c>
      <c r="O107" s="512" t="s">
        <v>1094</v>
      </c>
      <c r="P107" s="512" t="s">
        <v>1094</v>
      </c>
      <c r="Q107" s="512" t="s">
        <v>1094</v>
      </c>
      <c r="R107" s="512" t="s">
        <v>1094</v>
      </c>
      <c r="S107" s="512" t="s">
        <v>1094</v>
      </c>
      <c r="T107" s="512" t="s">
        <v>1094</v>
      </c>
      <c r="U107" s="512" t="s">
        <v>1094</v>
      </c>
      <c r="V107" s="513">
        <f t="shared" si="19"/>
        <v>2.3240853658536587</v>
      </c>
      <c r="W107" s="514"/>
      <c r="X107" s="514"/>
      <c r="Y107" s="633">
        <v>60</v>
      </c>
      <c r="Z107" s="634">
        <f>Y107*16</f>
        <v>960</v>
      </c>
      <c r="AA107" s="515">
        <v>41000</v>
      </c>
      <c r="AB107" s="514">
        <f t="shared" si="20"/>
        <v>0.94123048668503217</v>
      </c>
      <c r="AC107" s="514">
        <f t="shared" si="21"/>
        <v>15.059687786960515</v>
      </c>
      <c r="AD107" s="517"/>
      <c r="AE107" s="517" t="s">
        <v>1029</v>
      </c>
      <c r="AF107" s="518">
        <v>7</v>
      </c>
      <c r="AG107" s="519" t="s">
        <v>541</v>
      </c>
      <c r="AH107" s="520" t="s">
        <v>1060</v>
      </c>
    </row>
    <row r="108" spans="1:34">
      <c r="A108" s="240" t="s">
        <v>854</v>
      </c>
      <c r="B108" s="255" t="s">
        <v>283</v>
      </c>
      <c r="C108" s="102" t="s">
        <v>73</v>
      </c>
      <c r="D108" s="395" t="s">
        <v>1094</v>
      </c>
      <c r="E108" s="397" t="s">
        <v>883</v>
      </c>
      <c r="F108" s="397" t="s">
        <v>883</v>
      </c>
      <c r="G108" s="396" t="s">
        <v>1094</v>
      </c>
      <c r="H108" s="396" t="s">
        <v>1094</v>
      </c>
      <c r="I108" s="396" t="s">
        <v>883</v>
      </c>
      <c r="J108" s="396" t="s">
        <v>883</v>
      </c>
      <c r="K108" s="248">
        <f t="shared" si="18"/>
        <v>9.2581521739130441E-3</v>
      </c>
      <c r="L108" s="401" t="s">
        <v>883</v>
      </c>
      <c r="M108" s="401" t="s">
        <v>1094</v>
      </c>
      <c r="N108" s="401" t="s">
        <v>1094</v>
      </c>
      <c r="O108" s="401" t="s">
        <v>1094</v>
      </c>
      <c r="P108" s="401" t="s">
        <v>1094</v>
      </c>
      <c r="Q108" s="401" t="s">
        <v>883</v>
      </c>
      <c r="R108" s="401" t="s">
        <v>883</v>
      </c>
      <c r="S108" s="401" t="s">
        <v>883</v>
      </c>
      <c r="T108" s="401" t="s">
        <v>883</v>
      </c>
      <c r="U108" s="401" t="s">
        <v>883</v>
      </c>
      <c r="V108" s="249">
        <f t="shared" si="19"/>
        <v>4.1429347826086955</v>
      </c>
      <c r="W108" s="250"/>
      <c r="X108" s="250"/>
      <c r="Y108" s="632">
        <f t="shared" ref="Y108:Y113" si="22">SUM(Z108/16)</f>
        <v>212.9375</v>
      </c>
      <c r="Z108" s="305">
        <v>3407</v>
      </c>
      <c r="AA108" s="251">
        <v>23000</v>
      </c>
      <c r="AB108" s="250">
        <f t="shared" si="20"/>
        <v>0.52800734618916434</v>
      </c>
      <c r="AC108" s="250">
        <f t="shared" si="21"/>
        <v>8.4481175390266294</v>
      </c>
      <c r="AD108" s="245"/>
      <c r="AE108" s="258" t="s">
        <v>1029</v>
      </c>
      <c r="AF108" s="252">
        <v>5</v>
      </c>
      <c r="AG108" s="253" t="s">
        <v>541</v>
      </c>
      <c r="AH108" s="254" t="s">
        <v>1055</v>
      </c>
    </row>
    <row r="109" spans="1:34">
      <c r="A109" s="240" t="s">
        <v>854</v>
      </c>
      <c r="B109" s="255" t="s">
        <v>284</v>
      </c>
      <c r="C109" s="102" t="s">
        <v>77</v>
      </c>
      <c r="D109" s="395" t="s">
        <v>1094</v>
      </c>
      <c r="E109" s="397" t="s">
        <v>883</v>
      </c>
      <c r="F109" s="397" t="s">
        <v>883</v>
      </c>
      <c r="G109" s="396" t="s">
        <v>1094</v>
      </c>
      <c r="H109" s="396" t="s">
        <v>1094</v>
      </c>
      <c r="I109" s="396" t="s">
        <v>883</v>
      </c>
      <c r="J109" s="396" t="s">
        <v>883</v>
      </c>
      <c r="K109" s="248">
        <f t="shared" si="18"/>
        <v>5.5555555555555558E-3</v>
      </c>
      <c r="L109" s="401" t="s">
        <v>1094</v>
      </c>
      <c r="M109" s="401" t="s">
        <v>1094</v>
      </c>
      <c r="N109" s="401" t="s">
        <v>1094</v>
      </c>
      <c r="O109" s="401" t="s">
        <v>1094</v>
      </c>
      <c r="P109" s="401" t="s">
        <v>1094</v>
      </c>
      <c r="Q109" s="401" t="s">
        <v>1094</v>
      </c>
      <c r="R109" s="401" t="s">
        <v>1094</v>
      </c>
      <c r="S109" s="401" t="s">
        <v>1094</v>
      </c>
      <c r="T109" s="401" t="s">
        <v>1094</v>
      </c>
      <c r="U109" s="401" t="s">
        <v>1094</v>
      </c>
      <c r="V109" s="249">
        <f t="shared" si="19"/>
        <v>10.5875</v>
      </c>
      <c r="W109" s="250"/>
      <c r="X109" s="250"/>
      <c r="Y109" s="632">
        <f t="shared" si="22"/>
        <v>50</v>
      </c>
      <c r="Z109" s="305">
        <v>800</v>
      </c>
      <c r="AA109" s="251">
        <v>9000</v>
      </c>
      <c r="AB109" s="250">
        <f t="shared" si="20"/>
        <v>0.20661157024793389</v>
      </c>
      <c r="AC109" s="250">
        <f t="shared" si="21"/>
        <v>3.3057851239669422</v>
      </c>
      <c r="AD109" s="245"/>
      <c r="AE109" s="258" t="s">
        <v>15</v>
      </c>
      <c r="AF109" s="252">
        <v>5</v>
      </c>
      <c r="AG109" s="253" t="s">
        <v>540</v>
      </c>
      <c r="AH109" s="254" t="s">
        <v>1058</v>
      </c>
    </row>
    <row r="110" spans="1:34">
      <c r="A110" s="240" t="s">
        <v>854</v>
      </c>
      <c r="B110" s="255" t="s">
        <v>151</v>
      </c>
      <c r="C110" s="102" t="s">
        <v>48</v>
      </c>
      <c r="D110" s="397" t="s">
        <v>883</v>
      </c>
      <c r="E110" s="395" t="s">
        <v>883</v>
      </c>
      <c r="F110" s="395" t="s">
        <v>1094</v>
      </c>
      <c r="G110" s="396" t="s">
        <v>1094</v>
      </c>
      <c r="H110" s="396" t="s">
        <v>1094</v>
      </c>
      <c r="I110" s="396" t="s">
        <v>1094</v>
      </c>
      <c r="J110" s="396" t="s">
        <v>883</v>
      </c>
      <c r="K110" s="248">
        <f t="shared" si="18"/>
        <v>1.171875E-3</v>
      </c>
      <c r="L110" s="401" t="s">
        <v>883</v>
      </c>
      <c r="M110" s="401" t="s">
        <v>883</v>
      </c>
      <c r="N110" s="401" t="s">
        <v>883</v>
      </c>
      <c r="O110" s="401" t="s">
        <v>883</v>
      </c>
      <c r="P110" s="401" t="s">
        <v>883</v>
      </c>
      <c r="Q110" s="401" t="s">
        <v>883</v>
      </c>
      <c r="R110" s="401" t="s">
        <v>883</v>
      </c>
      <c r="S110" s="401" t="s">
        <v>1094</v>
      </c>
      <c r="T110" s="401" t="s">
        <v>883</v>
      </c>
      <c r="U110" s="401" t="s">
        <v>883</v>
      </c>
      <c r="V110" s="249">
        <f t="shared" si="19"/>
        <v>7.9406249999999998</v>
      </c>
      <c r="W110" s="250"/>
      <c r="X110" s="250"/>
      <c r="Y110" s="632">
        <f t="shared" si="22"/>
        <v>14.0625</v>
      </c>
      <c r="Z110" s="305">
        <v>225</v>
      </c>
      <c r="AA110" s="251">
        <v>12000</v>
      </c>
      <c r="AB110" s="250">
        <f t="shared" si="20"/>
        <v>0.27548209366391185</v>
      </c>
      <c r="AC110" s="250">
        <f t="shared" si="21"/>
        <v>4.4077134986225897</v>
      </c>
      <c r="AD110" s="245"/>
      <c r="AE110" s="258" t="s">
        <v>1028</v>
      </c>
      <c r="AF110" s="252">
        <v>5</v>
      </c>
      <c r="AG110" s="253" t="s">
        <v>541</v>
      </c>
      <c r="AH110" s="254" t="s">
        <v>1055</v>
      </c>
    </row>
    <row r="111" spans="1:34">
      <c r="A111" s="240" t="s">
        <v>854</v>
      </c>
      <c r="B111" s="255" t="s">
        <v>131</v>
      </c>
      <c r="C111" s="102" t="s">
        <v>29</v>
      </c>
      <c r="D111" s="395" t="s">
        <v>1094</v>
      </c>
      <c r="E111" s="397" t="s">
        <v>883</v>
      </c>
      <c r="F111" s="397" t="s">
        <v>883</v>
      </c>
      <c r="G111" s="396" t="s">
        <v>1094</v>
      </c>
      <c r="H111" s="396" t="s">
        <v>1094</v>
      </c>
      <c r="I111" s="396" t="s">
        <v>883</v>
      </c>
      <c r="J111" s="396" t="s">
        <v>883</v>
      </c>
      <c r="K111" s="248">
        <f t="shared" si="18"/>
        <v>2.5862068965517242E-4</v>
      </c>
      <c r="L111" s="401" t="s">
        <v>1094</v>
      </c>
      <c r="M111" s="401" t="s">
        <v>1094</v>
      </c>
      <c r="N111" s="401" t="s">
        <v>1094</v>
      </c>
      <c r="O111" s="401" t="s">
        <v>1094</v>
      </c>
      <c r="P111" s="401" t="s">
        <v>1094</v>
      </c>
      <c r="Q111" s="401" t="s">
        <v>1094</v>
      </c>
      <c r="R111" s="401" t="s">
        <v>1094</v>
      </c>
      <c r="S111" s="401" t="s">
        <v>1094</v>
      </c>
      <c r="T111" s="401" t="s">
        <v>1094</v>
      </c>
      <c r="U111" s="401" t="s">
        <v>1094</v>
      </c>
      <c r="V111" s="249">
        <f>35/AC106</f>
        <v>1.0587500000000001</v>
      </c>
      <c r="W111" s="250"/>
      <c r="X111" s="250"/>
      <c r="Y111" s="632">
        <f t="shared" si="22"/>
        <v>7.5</v>
      </c>
      <c r="Z111" s="305">
        <v>120</v>
      </c>
      <c r="AA111" s="251">
        <v>29000</v>
      </c>
      <c r="AB111" s="250">
        <f t="shared" si="20"/>
        <v>0.66574839302112032</v>
      </c>
      <c r="AC111" s="250">
        <f t="shared" si="21"/>
        <v>10.651974288337925</v>
      </c>
      <c r="AD111" s="257"/>
      <c r="AE111" s="258" t="s">
        <v>1028</v>
      </c>
      <c r="AF111" s="252">
        <v>4</v>
      </c>
      <c r="AG111" s="253" t="s">
        <v>541</v>
      </c>
      <c r="AH111" s="254" t="s">
        <v>1055</v>
      </c>
    </row>
    <row r="112" spans="1:34">
      <c r="A112" s="240" t="s">
        <v>854</v>
      </c>
      <c r="B112" s="247" t="s">
        <v>285</v>
      </c>
      <c r="C112" s="102" t="s">
        <v>58</v>
      </c>
      <c r="D112" s="397" t="s">
        <v>883</v>
      </c>
      <c r="E112" s="397" t="s">
        <v>1094</v>
      </c>
      <c r="F112" s="397" t="s">
        <v>883</v>
      </c>
      <c r="G112" s="396" t="s">
        <v>883</v>
      </c>
      <c r="H112" s="396" t="s">
        <v>1094</v>
      </c>
      <c r="I112" s="396" t="s">
        <v>883</v>
      </c>
      <c r="J112" s="396" t="s">
        <v>1094</v>
      </c>
      <c r="K112" s="248">
        <f t="shared" si="18"/>
        <v>1.176470588235294E-3</v>
      </c>
      <c r="L112" s="401" t="s">
        <v>883</v>
      </c>
      <c r="M112" s="401" t="s">
        <v>1094</v>
      </c>
      <c r="N112" s="401" t="s">
        <v>883</v>
      </c>
      <c r="O112" s="401" t="s">
        <v>883</v>
      </c>
      <c r="P112" s="401" t="s">
        <v>1094</v>
      </c>
      <c r="Q112" s="401" t="s">
        <v>883</v>
      </c>
      <c r="R112" s="401" t="s">
        <v>1094</v>
      </c>
      <c r="S112" s="401" t="s">
        <v>1094</v>
      </c>
      <c r="T112" s="401" t="s">
        <v>883</v>
      </c>
      <c r="U112" s="401" t="s">
        <v>883</v>
      </c>
      <c r="V112" s="249">
        <f t="shared" ref="V112:V139" si="23">35/AC112</f>
        <v>5.6051470588235288</v>
      </c>
      <c r="W112" s="250"/>
      <c r="X112" s="250"/>
      <c r="Y112" s="632">
        <f t="shared" si="22"/>
        <v>20</v>
      </c>
      <c r="Z112" s="305">
        <v>320</v>
      </c>
      <c r="AA112" s="251">
        <v>17000</v>
      </c>
      <c r="AB112" s="250">
        <f t="shared" si="20"/>
        <v>0.39026629935720847</v>
      </c>
      <c r="AC112" s="250">
        <f t="shared" si="21"/>
        <v>6.2442607897153355</v>
      </c>
      <c r="AD112" s="245"/>
      <c r="AE112" s="258" t="s">
        <v>1028</v>
      </c>
      <c r="AF112" s="252">
        <v>8</v>
      </c>
      <c r="AG112" s="253" t="s">
        <v>541</v>
      </c>
      <c r="AH112" s="254" t="s">
        <v>1055</v>
      </c>
    </row>
    <row r="113" spans="1:34">
      <c r="A113" s="240" t="s">
        <v>854</v>
      </c>
      <c r="B113" s="255" t="s">
        <v>121</v>
      </c>
      <c r="C113" s="102" t="s">
        <v>871</v>
      </c>
      <c r="D113" s="395" t="s">
        <v>1094</v>
      </c>
      <c r="E113" s="397" t="s">
        <v>1094</v>
      </c>
      <c r="F113" s="397" t="s">
        <v>883</v>
      </c>
      <c r="G113" s="396" t="s">
        <v>1094</v>
      </c>
      <c r="H113" s="396" t="s">
        <v>1094</v>
      </c>
      <c r="I113" s="396" t="s">
        <v>883</v>
      </c>
      <c r="J113" s="396" t="s">
        <v>883</v>
      </c>
      <c r="K113" s="248">
        <f t="shared" si="18"/>
        <v>9.3750000000000002E-5</v>
      </c>
      <c r="L113" s="401" t="s">
        <v>1094</v>
      </c>
      <c r="M113" s="401" t="s">
        <v>1094</v>
      </c>
      <c r="N113" s="401" t="s">
        <v>1094</v>
      </c>
      <c r="O113" s="401" t="s">
        <v>1094</v>
      </c>
      <c r="P113" s="401" t="s">
        <v>1094</v>
      </c>
      <c r="Q113" s="401" t="s">
        <v>1094</v>
      </c>
      <c r="R113" s="401" t="s">
        <v>1094</v>
      </c>
      <c r="S113" s="401" t="s">
        <v>1094</v>
      </c>
      <c r="T113" s="401" t="s">
        <v>1094</v>
      </c>
      <c r="U113" s="401" t="s">
        <v>1094</v>
      </c>
      <c r="V113" s="249">
        <f t="shared" si="23"/>
        <v>15.88125</v>
      </c>
      <c r="W113" s="250"/>
      <c r="X113" s="250"/>
      <c r="Y113" s="632">
        <f t="shared" si="22"/>
        <v>0.5625</v>
      </c>
      <c r="Z113" s="305">
        <v>9</v>
      </c>
      <c r="AA113" s="251">
        <v>6000</v>
      </c>
      <c r="AB113" s="250">
        <f t="shared" si="20"/>
        <v>0.13774104683195593</v>
      </c>
      <c r="AC113" s="250">
        <f t="shared" si="21"/>
        <v>2.2038567493112948</v>
      </c>
      <c r="AD113" s="257"/>
      <c r="AE113" s="258" t="s">
        <v>1029</v>
      </c>
      <c r="AF113" s="252">
        <v>6</v>
      </c>
      <c r="AG113" s="253" t="s">
        <v>539</v>
      </c>
      <c r="AH113" s="254" t="s">
        <v>1053</v>
      </c>
    </row>
    <row r="114" spans="1:34">
      <c r="A114" s="506" t="s">
        <v>854</v>
      </c>
      <c r="B114" s="507" t="s">
        <v>11227</v>
      </c>
      <c r="C114" s="508" t="s">
        <v>11226</v>
      </c>
      <c r="D114" s="509" t="s">
        <v>1094</v>
      </c>
      <c r="E114" s="509" t="s">
        <v>883</v>
      </c>
      <c r="F114" s="509" t="s">
        <v>883</v>
      </c>
      <c r="G114" s="510" t="s">
        <v>883</v>
      </c>
      <c r="H114" s="510" t="s">
        <v>883</v>
      </c>
      <c r="I114" s="510" t="s">
        <v>883</v>
      </c>
      <c r="J114" s="510" t="s">
        <v>1094</v>
      </c>
      <c r="K114" s="248">
        <f t="shared" si="18"/>
        <v>7.8260869565217397E-3</v>
      </c>
      <c r="L114" s="512" t="s">
        <v>883</v>
      </c>
      <c r="M114" s="512" t="s">
        <v>883</v>
      </c>
      <c r="N114" s="512" t="s">
        <v>883</v>
      </c>
      <c r="O114" s="512" t="s">
        <v>883</v>
      </c>
      <c r="P114" s="512" t="s">
        <v>883</v>
      </c>
      <c r="Q114" s="512" t="s">
        <v>883</v>
      </c>
      <c r="R114" s="512" t="s">
        <v>883</v>
      </c>
      <c r="S114" s="512" t="s">
        <v>1094</v>
      </c>
      <c r="T114" s="512" t="s">
        <v>883</v>
      </c>
      <c r="U114" s="512" t="s">
        <v>883</v>
      </c>
      <c r="V114" s="513">
        <f t="shared" si="23"/>
        <v>8.285869565217391</v>
      </c>
      <c r="W114" s="514"/>
      <c r="X114" s="514"/>
      <c r="Y114" s="633">
        <v>90</v>
      </c>
      <c r="Z114" s="634">
        <v>1440</v>
      </c>
      <c r="AA114" s="515">
        <v>11500</v>
      </c>
      <c r="AB114" s="514">
        <f t="shared" si="20"/>
        <v>0.26400367309458217</v>
      </c>
      <c r="AC114" s="514">
        <f t="shared" si="21"/>
        <v>4.2240587695133147</v>
      </c>
      <c r="AD114" s="517"/>
      <c r="AE114" s="517"/>
      <c r="AF114" s="518">
        <v>10</v>
      </c>
      <c r="AG114" s="519" t="s">
        <v>541</v>
      </c>
      <c r="AH114" s="520" t="s">
        <v>1060</v>
      </c>
    </row>
    <row r="115" spans="1:34">
      <c r="A115" s="240" t="s">
        <v>854</v>
      </c>
      <c r="B115" s="255" t="s">
        <v>182</v>
      </c>
      <c r="C115" s="102" t="s">
        <v>84</v>
      </c>
      <c r="D115" s="397" t="s">
        <v>1094</v>
      </c>
      <c r="E115" s="397" t="s">
        <v>1094</v>
      </c>
      <c r="F115" s="398" t="s">
        <v>883</v>
      </c>
      <c r="G115" s="396" t="s">
        <v>1094</v>
      </c>
      <c r="H115" s="396" t="s">
        <v>1094</v>
      </c>
      <c r="I115" s="396" t="s">
        <v>883</v>
      </c>
      <c r="J115" s="396" t="s">
        <v>1094</v>
      </c>
      <c r="K115" s="248">
        <f t="shared" si="18"/>
        <v>7.2463768115942027E-5</v>
      </c>
      <c r="L115" s="401" t="s">
        <v>883</v>
      </c>
      <c r="M115" s="401" t="s">
        <v>1094</v>
      </c>
      <c r="N115" s="401" t="s">
        <v>883</v>
      </c>
      <c r="O115" s="401" t="s">
        <v>1094</v>
      </c>
      <c r="P115" s="401" t="s">
        <v>1094</v>
      </c>
      <c r="Q115" s="401" t="s">
        <v>1094</v>
      </c>
      <c r="R115" s="401" t="s">
        <v>1094</v>
      </c>
      <c r="S115" s="401" t="s">
        <v>1094</v>
      </c>
      <c r="T115" s="401" t="s">
        <v>883</v>
      </c>
      <c r="U115" s="401" t="s">
        <v>883</v>
      </c>
      <c r="V115" s="249">
        <f t="shared" si="23"/>
        <v>13.809782608695652</v>
      </c>
      <c r="W115" s="250"/>
      <c r="X115" s="250"/>
      <c r="Y115" s="632">
        <f>SUM(Z115/16)</f>
        <v>0.5</v>
      </c>
      <c r="Z115" s="305">
        <v>8</v>
      </c>
      <c r="AA115" s="251">
        <v>6900</v>
      </c>
      <c r="AB115" s="250">
        <f t="shared" si="20"/>
        <v>0.1584022038567493</v>
      </c>
      <c r="AC115" s="250">
        <f t="shared" si="21"/>
        <v>2.5344352617079888</v>
      </c>
      <c r="AD115" s="245"/>
      <c r="AE115" s="258" t="s">
        <v>1028</v>
      </c>
      <c r="AF115" s="262">
        <v>5</v>
      </c>
      <c r="AG115" s="253" t="s">
        <v>540</v>
      </c>
      <c r="AH115" s="254" t="s">
        <v>1053</v>
      </c>
    </row>
    <row r="116" spans="1:34">
      <c r="A116" s="240" t="s">
        <v>854</v>
      </c>
      <c r="B116" s="255" t="s">
        <v>148</v>
      </c>
      <c r="C116" s="102" t="s">
        <v>46</v>
      </c>
      <c r="D116" s="397" t="s">
        <v>883</v>
      </c>
      <c r="E116" s="395" t="s">
        <v>883</v>
      </c>
      <c r="F116" s="395" t="s">
        <v>1094</v>
      </c>
      <c r="G116" s="396" t="s">
        <v>1094</v>
      </c>
      <c r="H116" s="396" t="s">
        <v>1094</v>
      </c>
      <c r="I116" s="396" t="s">
        <v>1094</v>
      </c>
      <c r="J116" s="396" t="s">
        <v>883</v>
      </c>
      <c r="K116" s="248">
        <f t="shared" si="18"/>
        <v>9.3749999999999997E-4</v>
      </c>
      <c r="L116" s="401" t="s">
        <v>883</v>
      </c>
      <c r="M116" s="401" t="s">
        <v>1094</v>
      </c>
      <c r="N116" s="401" t="s">
        <v>1094</v>
      </c>
      <c r="O116" s="401" t="s">
        <v>1094</v>
      </c>
      <c r="P116" s="401" t="s">
        <v>1094</v>
      </c>
      <c r="Q116" s="401" t="s">
        <v>1094</v>
      </c>
      <c r="R116" s="401" t="s">
        <v>1094</v>
      </c>
      <c r="S116" s="401" t="s">
        <v>883</v>
      </c>
      <c r="T116" s="401" t="s">
        <v>1094</v>
      </c>
      <c r="U116" s="401" t="s">
        <v>1094</v>
      </c>
      <c r="V116" s="249">
        <f t="shared" si="23"/>
        <v>7.9406249999999998</v>
      </c>
      <c r="W116" s="250"/>
      <c r="X116" s="250"/>
      <c r="Y116" s="632">
        <f>SUM(Z116/16)</f>
        <v>11.25</v>
      </c>
      <c r="Z116" s="305">
        <v>180</v>
      </c>
      <c r="AA116" s="251">
        <v>12000</v>
      </c>
      <c r="AB116" s="250">
        <f t="shared" si="20"/>
        <v>0.27548209366391185</v>
      </c>
      <c r="AC116" s="250">
        <f t="shared" si="21"/>
        <v>4.4077134986225897</v>
      </c>
      <c r="AD116" s="245"/>
      <c r="AE116" s="258" t="s">
        <v>1029</v>
      </c>
      <c r="AF116" s="252">
        <v>6</v>
      </c>
      <c r="AG116" s="253" t="s">
        <v>541</v>
      </c>
      <c r="AH116" s="254" t="s">
        <v>1055</v>
      </c>
    </row>
    <row r="117" spans="1:34">
      <c r="A117" s="506" t="s">
        <v>854</v>
      </c>
      <c r="B117" s="507" t="s">
        <v>11176</v>
      </c>
      <c r="C117" s="508" t="s">
        <v>11175</v>
      </c>
      <c r="D117" s="524" t="s">
        <v>883</v>
      </c>
      <c r="E117" s="524" t="s">
        <v>1094</v>
      </c>
      <c r="F117" s="524" t="s">
        <v>1094</v>
      </c>
      <c r="G117" s="525" t="s">
        <v>1094</v>
      </c>
      <c r="H117" s="525" t="s">
        <v>1094</v>
      </c>
      <c r="I117" s="525" t="s">
        <v>883</v>
      </c>
      <c r="J117" s="525" t="s">
        <v>1094</v>
      </c>
      <c r="K117" s="511">
        <f t="shared" si="18"/>
        <v>1.3636363636363637E-3</v>
      </c>
      <c r="L117" s="511" t="s">
        <v>1094</v>
      </c>
      <c r="M117" s="511" t="s">
        <v>1094</v>
      </c>
      <c r="N117" s="511" t="s">
        <v>1094</v>
      </c>
      <c r="O117" s="511" t="s">
        <v>1094</v>
      </c>
      <c r="P117" s="511" t="s">
        <v>1094</v>
      </c>
      <c r="Q117" s="511" t="s">
        <v>1094</v>
      </c>
      <c r="R117" s="511" t="s">
        <v>1094</v>
      </c>
      <c r="S117" s="511" t="s">
        <v>1094</v>
      </c>
      <c r="T117" s="511" t="s">
        <v>1094</v>
      </c>
      <c r="U117" s="511" t="s">
        <v>1094</v>
      </c>
      <c r="V117" s="513">
        <f t="shared" si="23"/>
        <v>4.3312499999999998</v>
      </c>
      <c r="W117" s="514"/>
      <c r="X117" s="514"/>
      <c r="Y117" s="633">
        <v>30</v>
      </c>
      <c r="Z117" s="634">
        <v>450</v>
      </c>
      <c r="AA117" s="515">
        <v>22000</v>
      </c>
      <c r="AB117" s="514">
        <f t="shared" si="20"/>
        <v>0.50505050505050508</v>
      </c>
      <c r="AC117" s="514">
        <f t="shared" si="21"/>
        <v>8.0808080808080813</v>
      </c>
      <c r="AD117" s="517"/>
      <c r="AE117" s="526"/>
      <c r="AF117" s="518">
        <v>7</v>
      </c>
      <c r="AG117" s="519" t="s">
        <v>541</v>
      </c>
      <c r="AH117" s="520" t="s">
        <v>1060</v>
      </c>
    </row>
    <row r="118" spans="1:34">
      <c r="A118" s="240" t="s">
        <v>854</v>
      </c>
      <c r="B118" s="255" t="s">
        <v>213</v>
      </c>
      <c r="C118" s="102" t="s">
        <v>114</v>
      </c>
      <c r="D118" s="397" t="s">
        <v>883</v>
      </c>
      <c r="E118" s="397" t="s">
        <v>883</v>
      </c>
      <c r="F118" s="395" t="s">
        <v>1094</v>
      </c>
      <c r="G118" s="396" t="s">
        <v>883</v>
      </c>
      <c r="H118" s="396" t="s">
        <v>883</v>
      </c>
      <c r="I118" s="396" t="s">
        <v>1094</v>
      </c>
      <c r="J118" s="396" t="s">
        <v>883</v>
      </c>
      <c r="K118" s="248">
        <f t="shared" si="18"/>
        <v>3.0241935483870969E-4</v>
      </c>
      <c r="L118" s="401" t="s">
        <v>1094</v>
      </c>
      <c r="M118" s="401" t="s">
        <v>1094</v>
      </c>
      <c r="N118" s="401" t="s">
        <v>1094</v>
      </c>
      <c r="O118" s="401" t="s">
        <v>1094</v>
      </c>
      <c r="P118" s="401" t="s">
        <v>1094</v>
      </c>
      <c r="Q118" s="401" t="s">
        <v>1094</v>
      </c>
      <c r="R118" s="401" t="s">
        <v>1094</v>
      </c>
      <c r="S118" s="401" t="s">
        <v>1094</v>
      </c>
      <c r="T118" s="401" t="s">
        <v>1094</v>
      </c>
      <c r="U118" s="401" t="s">
        <v>1094</v>
      </c>
      <c r="V118" s="249">
        <f t="shared" si="23"/>
        <v>3.0737903225806451</v>
      </c>
      <c r="W118" s="260"/>
      <c r="X118" s="260"/>
      <c r="Y118" s="632">
        <f>SUM(Z118/16)</f>
        <v>9.375</v>
      </c>
      <c r="Z118" s="305">
        <v>150</v>
      </c>
      <c r="AA118" s="251">
        <v>31000</v>
      </c>
      <c r="AB118" s="250">
        <f t="shared" si="20"/>
        <v>0.71166207529843895</v>
      </c>
      <c r="AC118" s="250">
        <f t="shared" si="21"/>
        <v>11.386593204775023</v>
      </c>
      <c r="AD118" s="246"/>
      <c r="AE118" s="258" t="s">
        <v>1029</v>
      </c>
      <c r="AF118" s="252">
        <v>3</v>
      </c>
      <c r="AG118" s="253" t="s">
        <v>541</v>
      </c>
      <c r="AH118" s="254" t="s">
        <v>1055</v>
      </c>
    </row>
    <row r="119" spans="1:34">
      <c r="A119" s="240" t="s">
        <v>854</v>
      </c>
      <c r="B119" s="255" t="s">
        <v>202</v>
      </c>
      <c r="C119" s="102" t="s">
        <v>104</v>
      </c>
      <c r="D119" s="397" t="s">
        <v>883</v>
      </c>
      <c r="E119" s="395" t="s">
        <v>883</v>
      </c>
      <c r="F119" s="395" t="s">
        <v>1094</v>
      </c>
      <c r="G119" s="396" t="s">
        <v>1094</v>
      </c>
      <c r="H119" s="396" t="s">
        <v>1094</v>
      </c>
      <c r="I119" s="396" t="s">
        <v>1094</v>
      </c>
      <c r="J119" s="396" t="s">
        <v>883</v>
      </c>
      <c r="K119" s="248">
        <f t="shared" si="18"/>
        <v>4.4444444444444447E-4</v>
      </c>
      <c r="L119" s="401" t="s">
        <v>883</v>
      </c>
      <c r="M119" s="401" t="s">
        <v>1094</v>
      </c>
      <c r="N119" s="401" t="s">
        <v>1094</v>
      </c>
      <c r="O119" s="401" t="s">
        <v>1094</v>
      </c>
      <c r="P119" s="401" t="s">
        <v>1094</v>
      </c>
      <c r="Q119" s="401" t="s">
        <v>883</v>
      </c>
      <c r="R119" s="401" t="s">
        <v>883</v>
      </c>
      <c r="S119" s="401" t="s">
        <v>1094</v>
      </c>
      <c r="T119" s="401" t="s">
        <v>883</v>
      </c>
      <c r="U119" s="401" t="s">
        <v>883</v>
      </c>
      <c r="V119" s="249">
        <f t="shared" si="23"/>
        <v>0.42349999999999999</v>
      </c>
      <c r="W119" s="260"/>
      <c r="X119" s="260"/>
      <c r="Y119" s="632">
        <f>SUM(Z119/16)</f>
        <v>100</v>
      </c>
      <c r="Z119" s="305">
        <v>1600</v>
      </c>
      <c r="AA119" s="251">
        <v>225000</v>
      </c>
      <c r="AB119" s="250">
        <f t="shared" si="20"/>
        <v>5.1652892561983474</v>
      </c>
      <c r="AC119" s="250">
        <f t="shared" si="21"/>
        <v>82.644628099173559</v>
      </c>
      <c r="AD119" s="246"/>
      <c r="AE119" s="258" t="s">
        <v>1029</v>
      </c>
      <c r="AF119" s="252">
        <v>10</v>
      </c>
      <c r="AG119" s="253" t="s">
        <v>539</v>
      </c>
      <c r="AH119" s="254" t="s">
        <v>1057</v>
      </c>
    </row>
    <row r="120" spans="1:34">
      <c r="A120" s="240" t="s">
        <v>854</v>
      </c>
      <c r="B120" s="255" t="s">
        <v>286</v>
      </c>
      <c r="C120" s="102" t="s">
        <v>60</v>
      </c>
      <c r="D120" s="397" t="s">
        <v>1094</v>
      </c>
      <c r="E120" s="397" t="s">
        <v>1094</v>
      </c>
      <c r="F120" s="397" t="s">
        <v>883</v>
      </c>
      <c r="G120" s="396" t="s">
        <v>1094</v>
      </c>
      <c r="H120" s="396" t="s">
        <v>1094</v>
      </c>
      <c r="I120" s="396" t="s">
        <v>1094</v>
      </c>
      <c r="J120" s="396" t="s">
        <v>1094</v>
      </c>
      <c r="K120" s="248">
        <f t="shared" si="18"/>
        <v>1.1999999999999999E-3</v>
      </c>
      <c r="L120" s="401" t="s">
        <v>1094</v>
      </c>
      <c r="M120" s="401" t="s">
        <v>1094</v>
      </c>
      <c r="N120" s="401" t="s">
        <v>1094</v>
      </c>
      <c r="O120" s="401" t="s">
        <v>1094</v>
      </c>
      <c r="P120" s="401" t="s">
        <v>1094</v>
      </c>
      <c r="Q120" s="401" t="s">
        <v>1094</v>
      </c>
      <c r="R120" s="401" t="s">
        <v>1094</v>
      </c>
      <c r="S120" s="401" t="s">
        <v>1094</v>
      </c>
      <c r="T120" s="401" t="s">
        <v>1094</v>
      </c>
      <c r="U120" s="401" t="s">
        <v>1094</v>
      </c>
      <c r="V120" s="249">
        <f t="shared" si="23"/>
        <v>9.5287500000000005</v>
      </c>
      <c r="W120" s="250"/>
      <c r="X120" s="250"/>
      <c r="Y120" s="632">
        <v>12</v>
      </c>
      <c r="Z120" s="305">
        <v>180</v>
      </c>
      <c r="AA120" s="251">
        <v>10000</v>
      </c>
      <c r="AB120" s="250">
        <f t="shared" si="20"/>
        <v>0.2295684113865932</v>
      </c>
      <c r="AC120" s="250">
        <f t="shared" si="21"/>
        <v>3.6730945821854912</v>
      </c>
      <c r="AD120" s="245"/>
      <c r="AE120" s="258" t="s">
        <v>1029</v>
      </c>
      <c r="AF120" s="252">
        <v>4</v>
      </c>
      <c r="AG120" s="253" t="s">
        <v>541</v>
      </c>
      <c r="AH120" s="254" t="s">
        <v>1055</v>
      </c>
    </row>
    <row r="121" spans="1:34">
      <c r="A121" s="240" t="s">
        <v>854</v>
      </c>
      <c r="B121" s="255" t="s">
        <v>161</v>
      </c>
      <c r="C121" s="102" t="s">
        <v>61</v>
      </c>
      <c r="D121" s="397" t="s">
        <v>883</v>
      </c>
      <c r="E121" s="395" t="s">
        <v>1094</v>
      </c>
      <c r="F121" s="397" t="s">
        <v>883</v>
      </c>
      <c r="G121" s="396" t="s">
        <v>883</v>
      </c>
      <c r="H121" s="396" t="s">
        <v>1094</v>
      </c>
      <c r="I121" s="396" t="s">
        <v>883</v>
      </c>
      <c r="J121" s="396" t="s">
        <v>1094</v>
      </c>
      <c r="K121" s="248">
        <f t="shared" si="18"/>
        <v>7.0312499999999997E-4</v>
      </c>
      <c r="L121" s="401" t="s">
        <v>883</v>
      </c>
      <c r="M121" s="401" t="s">
        <v>883</v>
      </c>
      <c r="N121" s="401" t="s">
        <v>883</v>
      </c>
      <c r="O121" s="401" t="s">
        <v>883</v>
      </c>
      <c r="P121" s="401" t="s">
        <v>883</v>
      </c>
      <c r="Q121" s="401" t="s">
        <v>883</v>
      </c>
      <c r="R121" s="401" t="s">
        <v>883</v>
      </c>
      <c r="S121" s="401" t="s">
        <v>1094</v>
      </c>
      <c r="T121" s="401" t="s">
        <v>883</v>
      </c>
      <c r="U121" s="401" t="s">
        <v>883</v>
      </c>
      <c r="V121" s="249">
        <f t="shared" si="23"/>
        <v>4.7643750000000002</v>
      </c>
      <c r="W121" s="250"/>
      <c r="X121" s="250"/>
      <c r="Y121" s="632">
        <f>SUM(Z121/16)</f>
        <v>14.0625</v>
      </c>
      <c r="Z121" s="305">
        <v>225</v>
      </c>
      <c r="AA121" s="251">
        <v>20000</v>
      </c>
      <c r="AB121" s="250">
        <f t="shared" si="20"/>
        <v>0.4591368227731864</v>
      </c>
      <c r="AC121" s="250">
        <f t="shared" si="21"/>
        <v>7.3461891643709825</v>
      </c>
      <c r="AD121" s="245"/>
      <c r="AE121" s="258" t="s">
        <v>1028</v>
      </c>
      <c r="AF121" s="252">
        <v>10</v>
      </c>
      <c r="AG121" s="253" t="s">
        <v>541</v>
      </c>
      <c r="AH121" s="254" t="s">
        <v>1055</v>
      </c>
    </row>
    <row r="122" spans="1:34">
      <c r="A122" s="506" t="s">
        <v>854</v>
      </c>
      <c r="B122" s="507" t="s">
        <v>11177</v>
      </c>
      <c r="C122" s="508" t="s">
        <v>11178</v>
      </c>
      <c r="D122" s="524" t="s">
        <v>883</v>
      </c>
      <c r="E122" s="524" t="s">
        <v>883</v>
      </c>
      <c r="F122" s="524" t="s">
        <v>1094</v>
      </c>
      <c r="G122" s="525" t="s">
        <v>883</v>
      </c>
      <c r="H122" s="525" t="s">
        <v>883</v>
      </c>
      <c r="I122" s="525" t="s">
        <v>1094</v>
      </c>
      <c r="J122" s="525" t="s">
        <v>883</v>
      </c>
      <c r="K122" s="511">
        <f t="shared" si="18"/>
        <v>8.1632653061224493E-4</v>
      </c>
      <c r="L122" s="511" t="s">
        <v>883</v>
      </c>
      <c r="M122" s="511" t="s">
        <v>883</v>
      </c>
      <c r="N122" s="511" t="s">
        <v>1094</v>
      </c>
      <c r="O122" s="511" t="s">
        <v>1094</v>
      </c>
      <c r="P122" s="511" t="s">
        <v>1094</v>
      </c>
      <c r="Q122" s="511" t="s">
        <v>883</v>
      </c>
      <c r="R122" s="511" t="s">
        <v>883</v>
      </c>
      <c r="S122" s="511" t="s">
        <v>883</v>
      </c>
      <c r="T122" s="511" t="s">
        <v>883</v>
      </c>
      <c r="U122" s="511" t="s">
        <v>883</v>
      </c>
      <c r="V122" s="513">
        <f t="shared" si="23"/>
        <v>1.9446428571428571</v>
      </c>
      <c r="W122" s="514"/>
      <c r="X122" s="514"/>
      <c r="Y122" s="633">
        <v>40</v>
      </c>
      <c r="Z122" s="634">
        <v>640</v>
      </c>
      <c r="AA122" s="515">
        <v>49000</v>
      </c>
      <c r="AB122" s="514">
        <f t="shared" si="20"/>
        <v>1.1248852157943068</v>
      </c>
      <c r="AC122" s="514">
        <f t="shared" si="21"/>
        <v>17.998163452708908</v>
      </c>
      <c r="AD122" s="517"/>
      <c r="AE122" s="526" t="s">
        <v>1028</v>
      </c>
      <c r="AF122" s="518"/>
      <c r="AG122" s="519" t="s">
        <v>541</v>
      </c>
      <c r="AH122" s="520" t="s">
        <v>1060</v>
      </c>
    </row>
    <row r="123" spans="1:34">
      <c r="A123" s="240" t="s">
        <v>854</v>
      </c>
      <c r="B123" s="247" t="s">
        <v>191</v>
      </c>
      <c r="C123" s="102" t="s">
        <v>92</v>
      </c>
      <c r="D123" s="397" t="s">
        <v>883</v>
      </c>
      <c r="E123" s="397" t="s">
        <v>883</v>
      </c>
      <c r="F123" s="397" t="s">
        <v>1094</v>
      </c>
      <c r="G123" s="396" t="s">
        <v>1094</v>
      </c>
      <c r="H123" s="396" t="s">
        <v>1094</v>
      </c>
      <c r="I123" s="396" t="s">
        <v>1094</v>
      </c>
      <c r="J123" s="396" t="s">
        <v>883</v>
      </c>
      <c r="K123" s="248">
        <f t="shared" si="18"/>
        <v>0.01</v>
      </c>
      <c r="L123" s="401" t="s">
        <v>883</v>
      </c>
      <c r="M123" s="401" t="s">
        <v>1094</v>
      </c>
      <c r="N123" s="401" t="s">
        <v>1094</v>
      </c>
      <c r="O123" s="401" t="s">
        <v>1094</v>
      </c>
      <c r="P123" s="401" t="s">
        <v>1094</v>
      </c>
      <c r="Q123" s="401" t="s">
        <v>1094</v>
      </c>
      <c r="R123" s="401" t="s">
        <v>883</v>
      </c>
      <c r="S123" s="401" t="s">
        <v>883</v>
      </c>
      <c r="T123" s="401" t="s">
        <v>883</v>
      </c>
      <c r="U123" s="401" t="s">
        <v>1094</v>
      </c>
      <c r="V123" s="249">
        <f t="shared" si="23"/>
        <v>4.7643750000000002</v>
      </c>
      <c r="W123" s="250"/>
      <c r="X123" s="250"/>
      <c r="Y123" s="632">
        <f t="shared" ref="Y123:Y128" si="24">SUM(Z123/16)</f>
        <v>200</v>
      </c>
      <c r="Z123" s="305">
        <v>3200</v>
      </c>
      <c r="AA123" s="251">
        <v>20000</v>
      </c>
      <c r="AB123" s="250">
        <f t="shared" si="20"/>
        <v>0.4591368227731864</v>
      </c>
      <c r="AC123" s="250">
        <f t="shared" si="21"/>
        <v>7.3461891643709825</v>
      </c>
      <c r="AD123" s="245"/>
      <c r="AE123" s="258" t="s">
        <v>1029</v>
      </c>
      <c r="AF123" s="252">
        <v>7</v>
      </c>
      <c r="AG123" s="253" t="s">
        <v>540</v>
      </c>
      <c r="AH123" s="254" t="s">
        <v>1054</v>
      </c>
    </row>
    <row r="124" spans="1:34">
      <c r="A124" s="240" t="s">
        <v>854</v>
      </c>
      <c r="B124" s="255" t="s">
        <v>873</v>
      </c>
      <c r="C124" s="102" t="s">
        <v>872</v>
      </c>
      <c r="D124" s="395" t="s">
        <v>1094</v>
      </c>
      <c r="E124" s="395" t="s">
        <v>1094</v>
      </c>
      <c r="F124" s="395" t="s">
        <v>883</v>
      </c>
      <c r="G124" s="396" t="s">
        <v>1094</v>
      </c>
      <c r="H124" s="396" t="s">
        <v>1094</v>
      </c>
      <c r="I124" s="396" t="s">
        <v>883</v>
      </c>
      <c r="J124" s="396" t="s">
        <v>883</v>
      </c>
      <c r="K124" s="248">
        <f t="shared" si="18"/>
        <v>3.5714285714285717E-5</v>
      </c>
      <c r="L124" s="401" t="s">
        <v>1094</v>
      </c>
      <c r="M124" s="401" t="s">
        <v>1094</v>
      </c>
      <c r="N124" s="401" t="s">
        <v>1094</v>
      </c>
      <c r="O124" s="401" t="s">
        <v>1094</v>
      </c>
      <c r="P124" s="401" t="s">
        <v>1094</v>
      </c>
      <c r="Q124" s="401" t="s">
        <v>1094</v>
      </c>
      <c r="R124" s="401" t="s">
        <v>1094</v>
      </c>
      <c r="S124" s="401" t="s">
        <v>1094</v>
      </c>
      <c r="T124" s="401" t="s">
        <v>1094</v>
      </c>
      <c r="U124" s="401" t="s">
        <v>1094</v>
      </c>
      <c r="V124" s="249">
        <f t="shared" si="23"/>
        <v>6.8062500000000004</v>
      </c>
      <c r="W124" s="260"/>
      <c r="X124" s="260"/>
      <c r="Y124" s="632">
        <f t="shared" si="24"/>
        <v>0.5</v>
      </c>
      <c r="Z124" s="305">
        <v>8</v>
      </c>
      <c r="AA124" s="251">
        <v>14000</v>
      </c>
      <c r="AB124" s="250">
        <f t="shared" si="20"/>
        <v>0.32139577594123048</v>
      </c>
      <c r="AC124" s="250">
        <f t="shared" si="21"/>
        <v>5.1423324150596876</v>
      </c>
      <c r="AD124" s="246"/>
      <c r="AE124" s="258" t="s">
        <v>1029</v>
      </c>
      <c r="AF124" s="252">
        <v>5</v>
      </c>
      <c r="AG124" s="253" t="s">
        <v>542</v>
      </c>
      <c r="AH124" s="254" t="s">
        <v>1058</v>
      </c>
    </row>
    <row r="125" spans="1:34">
      <c r="A125" s="240" t="s">
        <v>854</v>
      </c>
      <c r="B125" s="255" t="s">
        <v>207</v>
      </c>
      <c r="C125" s="102" t="s">
        <v>109</v>
      </c>
      <c r="D125" s="395" t="s">
        <v>1094</v>
      </c>
      <c r="E125" s="397" t="s">
        <v>883</v>
      </c>
      <c r="F125" s="397" t="s">
        <v>883</v>
      </c>
      <c r="G125" s="396" t="s">
        <v>1094</v>
      </c>
      <c r="H125" s="396" t="s">
        <v>883</v>
      </c>
      <c r="I125" s="396" t="s">
        <v>883</v>
      </c>
      <c r="J125" s="396" t="s">
        <v>883</v>
      </c>
      <c r="K125" s="248">
        <f t="shared" si="18"/>
        <v>2.2857142857142859E-3</v>
      </c>
      <c r="L125" s="401" t="s">
        <v>1094</v>
      </c>
      <c r="M125" s="401" t="s">
        <v>1094</v>
      </c>
      <c r="N125" s="401" t="s">
        <v>1094</v>
      </c>
      <c r="O125" s="401" t="s">
        <v>1094</v>
      </c>
      <c r="P125" s="401" t="s">
        <v>1094</v>
      </c>
      <c r="Q125" s="401" t="s">
        <v>1094</v>
      </c>
      <c r="R125" s="401" t="s">
        <v>1094</v>
      </c>
      <c r="S125" s="401" t="s">
        <v>1094</v>
      </c>
      <c r="T125" s="401" t="s">
        <v>1094</v>
      </c>
      <c r="U125" s="401" t="s">
        <v>1094</v>
      </c>
      <c r="V125" s="249">
        <f t="shared" si="23"/>
        <v>2.7225000000000001</v>
      </c>
      <c r="W125" s="260"/>
      <c r="X125" s="260"/>
      <c r="Y125" s="632">
        <f t="shared" si="24"/>
        <v>80</v>
      </c>
      <c r="Z125" s="305">
        <v>1280</v>
      </c>
      <c r="AA125" s="251">
        <v>35000</v>
      </c>
      <c r="AB125" s="250">
        <f t="shared" si="20"/>
        <v>0.80348943985307619</v>
      </c>
      <c r="AC125" s="250">
        <f t="shared" si="21"/>
        <v>12.855831037649219</v>
      </c>
      <c r="AD125" s="246"/>
      <c r="AE125" s="258"/>
      <c r="AF125" s="252">
        <v>4</v>
      </c>
      <c r="AG125" s="253" t="s">
        <v>540</v>
      </c>
      <c r="AH125" s="254" t="s">
        <v>1058</v>
      </c>
    </row>
    <row r="126" spans="1:34">
      <c r="A126" s="240" t="s">
        <v>854</v>
      </c>
      <c r="B126" s="247" t="s">
        <v>132</v>
      </c>
      <c r="C126" s="102" t="s">
        <v>30</v>
      </c>
      <c r="D126" s="397" t="s">
        <v>1094</v>
      </c>
      <c r="E126" s="397" t="s">
        <v>1094</v>
      </c>
      <c r="F126" s="397" t="s">
        <v>883</v>
      </c>
      <c r="G126" s="396" t="s">
        <v>883</v>
      </c>
      <c r="H126" s="396" t="s">
        <v>883</v>
      </c>
      <c r="I126" s="396" t="s">
        <v>883</v>
      </c>
      <c r="J126" s="396" t="s">
        <v>1094</v>
      </c>
      <c r="K126" s="248">
        <f t="shared" si="18"/>
        <v>6.2500000000000001E-4</v>
      </c>
      <c r="L126" s="401" t="s">
        <v>883</v>
      </c>
      <c r="M126" s="401" t="s">
        <v>1094</v>
      </c>
      <c r="N126" s="401" t="s">
        <v>1094</v>
      </c>
      <c r="O126" s="401" t="s">
        <v>1094</v>
      </c>
      <c r="P126" s="401" t="s">
        <v>1094</v>
      </c>
      <c r="Q126" s="401" t="s">
        <v>883</v>
      </c>
      <c r="R126" s="401" t="s">
        <v>1094</v>
      </c>
      <c r="S126" s="401" t="s">
        <v>1094</v>
      </c>
      <c r="T126" s="401" t="s">
        <v>883</v>
      </c>
      <c r="U126" s="401" t="s">
        <v>883</v>
      </c>
      <c r="V126" s="249">
        <f t="shared" si="23"/>
        <v>2.9777343750000003</v>
      </c>
      <c r="W126" s="250"/>
      <c r="X126" s="250"/>
      <c r="Y126" s="632">
        <f t="shared" si="24"/>
        <v>20</v>
      </c>
      <c r="Z126" s="305">
        <v>320</v>
      </c>
      <c r="AA126" s="251">
        <v>32000</v>
      </c>
      <c r="AB126" s="250">
        <f t="shared" si="20"/>
        <v>0.7346189164370982</v>
      </c>
      <c r="AC126" s="250">
        <f t="shared" si="21"/>
        <v>11.753902662993571</v>
      </c>
      <c r="AD126" s="257"/>
      <c r="AE126" s="258" t="s">
        <v>15</v>
      </c>
      <c r="AF126" s="252">
        <v>10</v>
      </c>
      <c r="AG126" s="253" t="s">
        <v>541</v>
      </c>
      <c r="AH126" s="254" t="s">
        <v>1055</v>
      </c>
    </row>
    <row r="127" spans="1:34">
      <c r="A127" s="240" t="s">
        <v>854</v>
      </c>
      <c r="B127" s="247" t="s">
        <v>175</v>
      </c>
      <c r="C127" s="102" t="s">
        <v>78</v>
      </c>
      <c r="D127" s="397" t="s">
        <v>883</v>
      </c>
      <c r="E127" s="397" t="s">
        <v>883</v>
      </c>
      <c r="F127" s="397" t="s">
        <v>1094</v>
      </c>
      <c r="G127" s="396" t="s">
        <v>883</v>
      </c>
      <c r="H127" s="396" t="s">
        <v>883</v>
      </c>
      <c r="I127" s="396" t="s">
        <v>1094</v>
      </c>
      <c r="J127" s="396" t="s">
        <v>883</v>
      </c>
      <c r="K127" s="248">
        <f t="shared" si="18"/>
        <v>1.2820512820512821E-3</v>
      </c>
      <c r="L127" s="401" t="s">
        <v>883</v>
      </c>
      <c r="M127" s="401" t="s">
        <v>1094</v>
      </c>
      <c r="N127" s="401" t="s">
        <v>883</v>
      </c>
      <c r="O127" s="401" t="s">
        <v>1094</v>
      </c>
      <c r="P127" s="401" t="s">
        <v>1094</v>
      </c>
      <c r="Q127" s="401" t="s">
        <v>883</v>
      </c>
      <c r="R127" s="401" t="s">
        <v>1094</v>
      </c>
      <c r="S127" s="401" t="s">
        <v>1094</v>
      </c>
      <c r="T127" s="401" t="s">
        <v>883</v>
      </c>
      <c r="U127" s="401" t="s">
        <v>883</v>
      </c>
      <c r="V127" s="249">
        <f t="shared" si="23"/>
        <v>2.4432692307692307</v>
      </c>
      <c r="W127" s="250"/>
      <c r="X127" s="250"/>
      <c r="Y127" s="632">
        <f t="shared" si="24"/>
        <v>50</v>
      </c>
      <c r="Z127" s="305">
        <v>800</v>
      </c>
      <c r="AA127" s="251">
        <v>39000</v>
      </c>
      <c r="AB127" s="250">
        <f t="shared" si="20"/>
        <v>0.89531680440771355</v>
      </c>
      <c r="AC127" s="250">
        <f t="shared" si="21"/>
        <v>14.325068870523417</v>
      </c>
      <c r="AD127" s="245"/>
      <c r="AE127" s="258" t="s">
        <v>1029</v>
      </c>
      <c r="AF127" s="252">
        <v>9</v>
      </c>
      <c r="AG127" s="253" t="s">
        <v>541</v>
      </c>
      <c r="AH127" s="254" t="s">
        <v>1060</v>
      </c>
    </row>
    <row r="128" spans="1:34">
      <c r="A128" s="240" t="s">
        <v>854</v>
      </c>
      <c r="B128" s="255" t="s">
        <v>287</v>
      </c>
      <c r="C128" s="102" t="s">
        <v>101</v>
      </c>
      <c r="D128" s="397" t="s">
        <v>883</v>
      </c>
      <c r="E128" s="395" t="s">
        <v>883</v>
      </c>
      <c r="F128" s="395" t="s">
        <v>1094</v>
      </c>
      <c r="G128" s="396" t="s">
        <v>1094</v>
      </c>
      <c r="H128" s="396" t="s">
        <v>883</v>
      </c>
      <c r="I128" s="396" t="s">
        <v>1094</v>
      </c>
      <c r="J128" s="396" t="s">
        <v>883</v>
      </c>
      <c r="K128" s="248">
        <f t="shared" si="18"/>
        <v>1.171875E-5</v>
      </c>
      <c r="L128" s="401" t="s">
        <v>1094</v>
      </c>
      <c r="M128" s="401" t="s">
        <v>1094</v>
      </c>
      <c r="N128" s="401" t="s">
        <v>1094</v>
      </c>
      <c r="O128" s="401" t="s">
        <v>1094</v>
      </c>
      <c r="P128" s="401" t="s">
        <v>1094</v>
      </c>
      <c r="Q128" s="401" t="s">
        <v>1094</v>
      </c>
      <c r="R128" s="401" t="s">
        <v>1094</v>
      </c>
      <c r="S128" s="401" t="s">
        <v>1094</v>
      </c>
      <c r="T128" s="401" t="s">
        <v>1094</v>
      </c>
      <c r="U128" s="401" t="s">
        <v>1094</v>
      </c>
      <c r="V128" s="249">
        <f t="shared" si="23"/>
        <v>5.9554687500000002E-2</v>
      </c>
      <c r="W128" s="260"/>
      <c r="X128" s="260"/>
      <c r="Y128" s="632">
        <f t="shared" si="24"/>
        <v>18.75</v>
      </c>
      <c r="Z128" s="305">
        <v>300</v>
      </c>
      <c r="AA128" s="251">
        <v>1600000</v>
      </c>
      <c r="AB128" s="250">
        <f t="shared" si="20"/>
        <v>36.73094582185491</v>
      </c>
      <c r="AC128" s="250">
        <f t="shared" si="21"/>
        <v>587.69513314967855</v>
      </c>
      <c r="AD128" s="246"/>
      <c r="AE128" s="258" t="s">
        <v>1029</v>
      </c>
      <c r="AF128" s="252">
        <v>3</v>
      </c>
      <c r="AG128" s="253" t="s">
        <v>545</v>
      </c>
      <c r="AH128" s="254" t="s">
        <v>1055</v>
      </c>
    </row>
    <row r="129" spans="1:36" s="523" customFormat="1" ht="13.5" customHeight="1">
      <c r="A129" s="240" t="s">
        <v>854</v>
      </c>
      <c r="B129" s="255" t="s">
        <v>152</v>
      </c>
      <c r="C129" s="102" t="s">
        <v>49</v>
      </c>
      <c r="D129" s="397" t="s">
        <v>1094</v>
      </c>
      <c r="E129" s="397" t="s">
        <v>1094</v>
      </c>
      <c r="F129" s="395" t="s">
        <v>1094</v>
      </c>
      <c r="G129" s="396" t="s">
        <v>1094</v>
      </c>
      <c r="H129" s="396" t="s">
        <v>1094</v>
      </c>
      <c r="I129" s="396" t="s">
        <v>883</v>
      </c>
      <c r="J129" s="396" t="s">
        <v>1094</v>
      </c>
      <c r="K129" s="248">
        <f t="shared" si="18"/>
        <v>5.9999999999999995E-4</v>
      </c>
      <c r="L129" s="401" t="s">
        <v>883</v>
      </c>
      <c r="M129" s="401" t="s">
        <v>1094</v>
      </c>
      <c r="N129" s="401" t="s">
        <v>883</v>
      </c>
      <c r="O129" s="401" t="s">
        <v>1094</v>
      </c>
      <c r="P129" s="401" t="s">
        <v>1094</v>
      </c>
      <c r="Q129" s="401" t="s">
        <v>1094</v>
      </c>
      <c r="R129" s="401" t="s">
        <v>1094</v>
      </c>
      <c r="S129" s="401" t="s">
        <v>883</v>
      </c>
      <c r="T129" s="401" t="s">
        <v>1094</v>
      </c>
      <c r="U129" s="401" t="s">
        <v>883</v>
      </c>
      <c r="V129" s="249">
        <f t="shared" si="23"/>
        <v>3.8115000000000001</v>
      </c>
      <c r="W129" s="250"/>
      <c r="X129" s="250"/>
      <c r="Y129" s="632">
        <v>15</v>
      </c>
      <c r="Z129" s="305">
        <v>225</v>
      </c>
      <c r="AA129" s="251">
        <v>25000</v>
      </c>
      <c r="AB129" s="250">
        <f t="shared" si="20"/>
        <v>0.57392102846648296</v>
      </c>
      <c r="AC129" s="250">
        <f t="shared" si="21"/>
        <v>9.1827364554637274</v>
      </c>
      <c r="AD129" s="245"/>
      <c r="AE129" s="258" t="s">
        <v>1028</v>
      </c>
      <c r="AF129" s="252">
        <v>2</v>
      </c>
      <c r="AG129" s="253" t="s">
        <v>541</v>
      </c>
      <c r="AH129" s="254" t="s">
        <v>1055</v>
      </c>
      <c r="AI129" s="521"/>
      <c r="AJ129" s="522"/>
    </row>
    <row r="130" spans="1:36" s="523" customFormat="1">
      <c r="A130" s="240" t="s">
        <v>854</v>
      </c>
      <c r="B130" s="247" t="s">
        <v>288</v>
      </c>
      <c r="C130" s="102" t="s">
        <v>67</v>
      </c>
      <c r="D130" s="397" t="s">
        <v>883</v>
      </c>
      <c r="E130" s="397" t="s">
        <v>883</v>
      </c>
      <c r="F130" s="397" t="s">
        <v>1094</v>
      </c>
      <c r="G130" s="396" t="s">
        <v>1094</v>
      </c>
      <c r="H130" s="396" t="s">
        <v>883</v>
      </c>
      <c r="I130" s="396" t="s">
        <v>1094</v>
      </c>
      <c r="J130" s="396" t="s">
        <v>883</v>
      </c>
      <c r="K130" s="248">
        <f t="shared" si="18"/>
        <v>1.40625E-2</v>
      </c>
      <c r="L130" s="401" t="s">
        <v>883</v>
      </c>
      <c r="M130" s="401" t="s">
        <v>1094</v>
      </c>
      <c r="N130" s="401" t="s">
        <v>883</v>
      </c>
      <c r="O130" s="401" t="s">
        <v>883</v>
      </c>
      <c r="P130" s="401" t="s">
        <v>883</v>
      </c>
      <c r="Q130" s="401" t="s">
        <v>883</v>
      </c>
      <c r="R130" s="401" t="s">
        <v>883</v>
      </c>
      <c r="S130" s="401" t="s">
        <v>883</v>
      </c>
      <c r="T130" s="401" t="s">
        <v>883</v>
      </c>
      <c r="U130" s="401" t="s">
        <v>883</v>
      </c>
      <c r="V130" s="249">
        <f t="shared" si="23"/>
        <v>119.109375</v>
      </c>
      <c r="W130" s="250"/>
      <c r="X130" s="250"/>
      <c r="Y130" s="632">
        <f>SUM(Z130/16)</f>
        <v>11.25</v>
      </c>
      <c r="Z130" s="305">
        <v>180</v>
      </c>
      <c r="AA130" s="251">
        <v>800</v>
      </c>
      <c r="AB130" s="250">
        <f t="shared" si="20"/>
        <v>1.8365472910927456E-2</v>
      </c>
      <c r="AC130" s="250">
        <f t="shared" si="21"/>
        <v>0.29384756657483929</v>
      </c>
      <c r="AD130" s="245"/>
      <c r="AE130" s="258" t="s">
        <v>15</v>
      </c>
      <c r="AF130" s="252">
        <v>10</v>
      </c>
      <c r="AG130" s="253" t="s">
        <v>541</v>
      </c>
      <c r="AH130" s="254" t="s">
        <v>1055</v>
      </c>
      <c r="AI130" s="521"/>
      <c r="AJ130" s="522"/>
    </row>
    <row r="131" spans="1:36" s="523" customFormat="1">
      <c r="A131" s="240" t="s">
        <v>854</v>
      </c>
      <c r="B131" s="255" t="s">
        <v>164</v>
      </c>
      <c r="C131" s="102" t="s">
        <v>14</v>
      </c>
      <c r="D131" s="397" t="s">
        <v>883</v>
      </c>
      <c r="E131" s="395" t="s">
        <v>883</v>
      </c>
      <c r="F131" s="395" t="s">
        <v>1094</v>
      </c>
      <c r="G131" s="396" t="s">
        <v>1094</v>
      </c>
      <c r="H131" s="396" t="s">
        <v>1094</v>
      </c>
      <c r="I131" s="396" t="s">
        <v>1094</v>
      </c>
      <c r="J131" s="396" t="s">
        <v>1094</v>
      </c>
      <c r="K131" s="248">
        <f t="shared" si="18"/>
        <v>8.8443396226415096E-4</v>
      </c>
      <c r="L131" s="401" t="s">
        <v>1094</v>
      </c>
      <c r="M131" s="401" t="s">
        <v>1094</v>
      </c>
      <c r="N131" s="401" t="s">
        <v>1094</v>
      </c>
      <c r="O131" s="401" t="s">
        <v>1094</v>
      </c>
      <c r="P131" s="401" t="s">
        <v>1094</v>
      </c>
      <c r="Q131" s="401" t="s">
        <v>1094</v>
      </c>
      <c r="R131" s="401" t="s">
        <v>1094</v>
      </c>
      <c r="S131" s="401" t="s">
        <v>1094</v>
      </c>
      <c r="T131" s="401" t="s">
        <v>1094</v>
      </c>
      <c r="U131" s="401" t="s">
        <v>1094</v>
      </c>
      <c r="V131" s="249">
        <f t="shared" si="23"/>
        <v>1.7978773584905661</v>
      </c>
      <c r="W131" s="250"/>
      <c r="X131" s="250"/>
      <c r="Y131" s="632">
        <f>SUM(Z131/16)</f>
        <v>46.875</v>
      </c>
      <c r="Z131" s="305">
        <v>750</v>
      </c>
      <c r="AA131" s="251">
        <v>53000</v>
      </c>
      <c r="AB131" s="250">
        <f t="shared" si="20"/>
        <v>1.216712580348944</v>
      </c>
      <c r="AC131" s="250">
        <f t="shared" si="21"/>
        <v>19.467401285583104</v>
      </c>
      <c r="AD131" s="245"/>
      <c r="AE131" s="258" t="s">
        <v>1028</v>
      </c>
      <c r="AF131" s="252">
        <v>6</v>
      </c>
      <c r="AG131" s="253" t="s">
        <v>541</v>
      </c>
      <c r="AH131" s="254" t="s">
        <v>1055</v>
      </c>
      <c r="AI131" s="521"/>
      <c r="AJ131" s="522"/>
    </row>
    <row r="132" spans="1:36" s="523" customFormat="1">
      <c r="A132" s="240" t="s">
        <v>854</v>
      </c>
      <c r="B132" s="255" t="s">
        <v>184</v>
      </c>
      <c r="C132" s="102" t="s">
        <v>858</v>
      </c>
      <c r="D132" s="397" t="s">
        <v>883</v>
      </c>
      <c r="E132" s="395" t="s">
        <v>1094</v>
      </c>
      <c r="F132" s="395" t="s">
        <v>883</v>
      </c>
      <c r="G132" s="396" t="s">
        <v>883</v>
      </c>
      <c r="H132" s="396" t="s">
        <v>1094</v>
      </c>
      <c r="I132" s="396" t="s">
        <v>883</v>
      </c>
      <c r="J132" s="396" t="s">
        <v>1094</v>
      </c>
      <c r="K132" s="248">
        <f t="shared" ref="K132:K139" si="25">Y132/AA132</f>
        <v>1.1904761904761905E-4</v>
      </c>
      <c r="L132" s="401" t="s">
        <v>1094</v>
      </c>
      <c r="M132" s="401" t="s">
        <v>1094</v>
      </c>
      <c r="N132" s="401" t="s">
        <v>1094</v>
      </c>
      <c r="O132" s="401" t="s">
        <v>1094</v>
      </c>
      <c r="P132" s="401" t="s">
        <v>1094</v>
      </c>
      <c r="Q132" s="401" t="s">
        <v>1094</v>
      </c>
      <c r="R132" s="401" t="s">
        <v>1094</v>
      </c>
      <c r="S132" s="401" t="s">
        <v>1094</v>
      </c>
      <c r="T132" s="401" t="s">
        <v>1094</v>
      </c>
      <c r="U132" s="401" t="s">
        <v>1094</v>
      </c>
      <c r="V132" s="249">
        <f t="shared" si="23"/>
        <v>22.6875</v>
      </c>
      <c r="W132" s="250"/>
      <c r="X132" s="250"/>
      <c r="Y132" s="632">
        <f>SUM(Z132/16)</f>
        <v>0.5</v>
      </c>
      <c r="Z132" s="305">
        <v>8</v>
      </c>
      <c r="AA132" s="251">
        <v>4200</v>
      </c>
      <c r="AB132" s="250">
        <f t="shared" ref="AB132:AB139" si="26">AA132/43560</f>
        <v>9.6418732782369149E-2</v>
      </c>
      <c r="AC132" s="250">
        <f t="shared" ref="AC132:AC139" si="27">AB132*16</f>
        <v>1.5426997245179064</v>
      </c>
      <c r="AD132" s="245"/>
      <c r="AE132" s="258" t="s">
        <v>1028</v>
      </c>
      <c r="AF132" s="252">
        <v>3</v>
      </c>
      <c r="AG132" s="253" t="s">
        <v>540</v>
      </c>
      <c r="AH132" s="254" t="s">
        <v>1053</v>
      </c>
      <c r="AI132" s="521"/>
      <c r="AJ132" s="522"/>
    </row>
    <row r="133" spans="1:36" s="523" customFormat="1">
      <c r="A133" s="506" t="s">
        <v>854</v>
      </c>
      <c r="B133" s="507" t="s">
        <v>11171</v>
      </c>
      <c r="C133" s="508" t="s">
        <v>11172</v>
      </c>
      <c r="D133" s="509" t="s">
        <v>883</v>
      </c>
      <c r="E133" s="509" t="s">
        <v>883</v>
      </c>
      <c r="F133" s="509" t="s">
        <v>1094</v>
      </c>
      <c r="G133" s="510" t="s">
        <v>1094</v>
      </c>
      <c r="H133" s="510" t="s">
        <v>883</v>
      </c>
      <c r="I133" s="510" t="s">
        <v>1094</v>
      </c>
      <c r="J133" s="510" t="s">
        <v>883</v>
      </c>
      <c r="K133" s="511">
        <f t="shared" si="25"/>
        <v>9.3023255813953494E-4</v>
      </c>
      <c r="L133" s="512" t="s">
        <v>883</v>
      </c>
      <c r="M133" s="512" t="s">
        <v>1094</v>
      </c>
      <c r="N133" s="512" t="s">
        <v>883</v>
      </c>
      <c r="O133" s="512" t="s">
        <v>883</v>
      </c>
      <c r="P133" s="512" t="s">
        <v>883</v>
      </c>
      <c r="Q133" s="512" t="s">
        <v>1094</v>
      </c>
      <c r="R133" s="512" t="s">
        <v>883</v>
      </c>
      <c r="S133" s="512" t="s">
        <v>883</v>
      </c>
      <c r="T133" s="512" t="s">
        <v>883</v>
      </c>
      <c r="U133" s="512" t="s">
        <v>883</v>
      </c>
      <c r="V133" s="513">
        <f t="shared" si="23"/>
        <v>2.2159883720930234</v>
      </c>
      <c r="W133" s="514"/>
      <c r="X133" s="514"/>
      <c r="Y133" s="633">
        <v>40</v>
      </c>
      <c r="Z133" s="634">
        <v>640</v>
      </c>
      <c r="AA133" s="515">
        <v>43000</v>
      </c>
      <c r="AB133" s="514">
        <f t="shared" si="26"/>
        <v>0.9871441689623508</v>
      </c>
      <c r="AC133" s="514">
        <f t="shared" si="27"/>
        <v>15.794306703397613</v>
      </c>
      <c r="AD133" s="516"/>
      <c r="AE133" s="517" t="s">
        <v>1028</v>
      </c>
      <c r="AF133" s="518">
        <v>7</v>
      </c>
      <c r="AG133" s="519" t="s">
        <v>541</v>
      </c>
      <c r="AH133" s="520" t="s">
        <v>1060</v>
      </c>
      <c r="AI133" s="521"/>
      <c r="AJ133" s="522"/>
    </row>
    <row r="134" spans="1:36" s="523" customFormat="1">
      <c r="A134" s="240" t="s">
        <v>854</v>
      </c>
      <c r="B134" s="255" t="s">
        <v>206</v>
      </c>
      <c r="C134" s="102" t="s">
        <v>108</v>
      </c>
      <c r="D134" s="395" t="s">
        <v>1094</v>
      </c>
      <c r="E134" s="395" t="s">
        <v>1094</v>
      </c>
      <c r="F134" s="395" t="s">
        <v>883</v>
      </c>
      <c r="G134" s="396" t="s">
        <v>1094</v>
      </c>
      <c r="H134" s="396" t="s">
        <v>1094</v>
      </c>
      <c r="I134" s="396" t="s">
        <v>883</v>
      </c>
      <c r="J134" s="396" t="s">
        <v>883</v>
      </c>
      <c r="K134" s="248">
        <f t="shared" si="25"/>
        <v>1.6520589872008905E-4</v>
      </c>
      <c r="L134" s="401" t="s">
        <v>1094</v>
      </c>
      <c r="M134" s="401" t="s">
        <v>1094</v>
      </c>
      <c r="N134" s="401" t="s">
        <v>1094</v>
      </c>
      <c r="O134" s="401" t="s">
        <v>1094</v>
      </c>
      <c r="P134" s="401" t="s">
        <v>1094</v>
      </c>
      <c r="Q134" s="401" t="s">
        <v>1094</v>
      </c>
      <c r="R134" s="401" t="s">
        <v>1094</v>
      </c>
      <c r="S134" s="401" t="s">
        <v>1094</v>
      </c>
      <c r="T134" s="401" t="s">
        <v>1094</v>
      </c>
      <c r="U134" s="401" t="s">
        <v>1094</v>
      </c>
      <c r="V134" s="249">
        <f t="shared" si="23"/>
        <v>13.256469115191985</v>
      </c>
      <c r="W134" s="260"/>
      <c r="X134" s="260"/>
      <c r="Y134" s="632">
        <f t="shared" ref="Y134:Y139" si="28">SUM(Z134/16)</f>
        <v>1.1875</v>
      </c>
      <c r="Z134" s="305">
        <v>19</v>
      </c>
      <c r="AA134" s="251">
        <v>7188</v>
      </c>
      <c r="AB134" s="250">
        <f t="shared" si="26"/>
        <v>0.16501377410468321</v>
      </c>
      <c r="AC134" s="250">
        <f t="shared" si="27"/>
        <v>2.6402203856749313</v>
      </c>
      <c r="AD134" s="246"/>
      <c r="AE134" s="258" t="s">
        <v>1029</v>
      </c>
      <c r="AF134" s="252">
        <v>2</v>
      </c>
      <c r="AG134" s="253" t="s">
        <v>540</v>
      </c>
      <c r="AH134" s="254"/>
      <c r="AI134" s="521"/>
      <c r="AJ134" s="522"/>
    </row>
    <row r="135" spans="1:36" s="523" customFormat="1">
      <c r="A135" s="240" t="s">
        <v>854</v>
      </c>
      <c r="B135" s="255" t="s">
        <v>130</v>
      </c>
      <c r="C135" s="102" t="s">
        <v>26</v>
      </c>
      <c r="D135" s="397" t="s">
        <v>883</v>
      </c>
      <c r="E135" s="397" t="s">
        <v>883</v>
      </c>
      <c r="F135" s="395" t="s">
        <v>1094</v>
      </c>
      <c r="G135" s="396" t="s">
        <v>1094</v>
      </c>
      <c r="H135" s="396" t="s">
        <v>1094</v>
      </c>
      <c r="I135" s="396" t="s">
        <v>1094</v>
      </c>
      <c r="J135" s="396" t="s">
        <v>883</v>
      </c>
      <c r="K135" s="248">
        <f t="shared" si="25"/>
        <v>1.3793103448275861E-3</v>
      </c>
      <c r="L135" s="401" t="s">
        <v>1094</v>
      </c>
      <c r="M135" s="401" t="s">
        <v>1094</v>
      </c>
      <c r="N135" s="401" t="s">
        <v>1094</v>
      </c>
      <c r="O135" s="401" t="s">
        <v>1094</v>
      </c>
      <c r="P135" s="401" t="s">
        <v>1094</v>
      </c>
      <c r="Q135" s="401" t="s">
        <v>1094</v>
      </c>
      <c r="R135" s="401" t="s">
        <v>1094</v>
      </c>
      <c r="S135" s="401" t="s">
        <v>1094</v>
      </c>
      <c r="T135" s="401" t="s">
        <v>1094</v>
      </c>
      <c r="U135" s="401" t="s">
        <v>1094</v>
      </c>
      <c r="V135" s="249">
        <f t="shared" si="23"/>
        <v>3.2857758620689652</v>
      </c>
      <c r="W135" s="250"/>
      <c r="X135" s="250"/>
      <c r="Y135" s="632">
        <f t="shared" si="28"/>
        <v>40</v>
      </c>
      <c r="Z135" s="305">
        <v>640</v>
      </c>
      <c r="AA135" s="251">
        <v>29000</v>
      </c>
      <c r="AB135" s="250">
        <f t="shared" si="26"/>
        <v>0.66574839302112032</v>
      </c>
      <c r="AC135" s="250">
        <f t="shared" si="27"/>
        <v>10.651974288337925</v>
      </c>
      <c r="AD135" s="257"/>
      <c r="AE135" s="258" t="s">
        <v>1029</v>
      </c>
      <c r="AF135" s="252">
        <v>8</v>
      </c>
      <c r="AG135" s="253" t="s">
        <v>541</v>
      </c>
      <c r="AH135" s="254" t="s">
        <v>1055</v>
      </c>
      <c r="AI135" s="521"/>
      <c r="AJ135" s="522"/>
    </row>
    <row r="136" spans="1:36" s="523" customFormat="1">
      <c r="A136" s="240" t="s">
        <v>854</v>
      </c>
      <c r="B136" s="255" t="s">
        <v>215</v>
      </c>
      <c r="C136" s="102" t="s">
        <v>115</v>
      </c>
      <c r="D136" s="397" t="s">
        <v>883</v>
      </c>
      <c r="E136" s="395" t="s">
        <v>883</v>
      </c>
      <c r="F136" s="395" t="s">
        <v>1094</v>
      </c>
      <c r="G136" s="396" t="s">
        <v>1094</v>
      </c>
      <c r="H136" s="396" t="s">
        <v>1094</v>
      </c>
      <c r="I136" s="396" t="s">
        <v>1094</v>
      </c>
      <c r="J136" s="396" t="s">
        <v>883</v>
      </c>
      <c r="K136" s="248">
        <f t="shared" si="25"/>
        <v>2.2058823529411763E-6</v>
      </c>
      <c r="L136" s="401" t="s">
        <v>883</v>
      </c>
      <c r="M136" s="401" t="s">
        <v>1094</v>
      </c>
      <c r="N136" s="401" t="s">
        <v>883</v>
      </c>
      <c r="O136" s="401" t="s">
        <v>883</v>
      </c>
      <c r="P136" s="401" t="s">
        <v>1094</v>
      </c>
      <c r="Q136" s="401" t="s">
        <v>883</v>
      </c>
      <c r="R136" s="401" t="s">
        <v>1094</v>
      </c>
      <c r="S136" s="401" t="s">
        <v>1094</v>
      </c>
      <c r="T136" s="401" t="s">
        <v>1094</v>
      </c>
      <c r="U136" s="401" t="s">
        <v>883</v>
      </c>
      <c r="V136" s="249">
        <f t="shared" si="23"/>
        <v>5.6051470588235286E-2</v>
      </c>
      <c r="W136" s="260"/>
      <c r="X136" s="260"/>
      <c r="Y136" s="632">
        <f t="shared" si="28"/>
        <v>3.75</v>
      </c>
      <c r="Z136" s="305">
        <v>60</v>
      </c>
      <c r="AA136" s="251">
        <v>1700000</v>
      </c>
      <c r="AB136" s="250">
        <f t="shared" si="26"/>
        <v>39.026629935720848</v>
      </c>
      <c r="AC136" s="250">
        <f t="shared" si="27"/>
        <v>624.42607897153357</v>
      </c>
      <c r="AD136" s="246"/>
      <c r="AE136" s="258" t="s">
        <v>1028</v>
      </c>
      <c r="AF136" s="252">
        <v>4</v>
      </c>
      <c r="AG136" s="253" t="s">
        <v>541</v>
      </c>
      <c r="AH136" s="254" t="s">
        <v>1055</v>
      </c>
      <c r="AI136" s="521"/>
      <c r="AJ136" s="522"/>
    </row>
    <row r="137" spans="1:36" s="523" customFormat="1">
      <c r="A137" s="240" t="s">
        <v>854</v>
      </c>
      <c r="B137" s="247" t="s">
        <v>154</v>
      </c>
      <c r="C137" s="102" t="s">
        <v>52</v>
      </c>
      <c r="D137" s="397" t="s">
        <v>883</v>
      </c>
      <c r="E137" s="397" t="s">
        <v>883</v>
      </c>
      <c r="F137" s="397" t="s">
        <v>1094</v>
      </c>
      <c r="G137" s="396" t="s">
        <v>1094</v>
      </c>
      <c r="H137" s="396" t="s">
        <v>883</v>
      </c>
      <c r="I137" s="396" t="s">
        <v>883</v>
      </c>
      <c r="J137" s="396" t="s">
        <v>883</v>
      </c>
      <c r="K137" s="248">
        <f t="shared" si="25"/>
        <v>2.142857142857143E-3</v>
      </c>
      <c r="L137" s="401" t="s">
        <v>1094</v>
      </c>
      <c r="M137" s="401" t="s">
        <v>1094</v>
      </c>
      <c r="N137" s="401" t="s">
        <v>1094</v>
      </c>
      <c r="O137" s="401" t="s">
        <v>1094</v>
      </c>
      <c r="P137" s="401" t="s">
        <v>1094</v>
      </c>
      <c r="Q137" s="401" t="s">
        <v>1094</v>
      </c>
      <c r="R137" s="401" t="s">
        <v>1094</v>
      </c>
      <c r="S137" s="401" t="s">
        <v>1094</v>
      </c>
      <c r="T137" s="401" t="s">
        <v>1094</v>
      </c>
      <c r="U137" s="401" t="s">
        <v>1094</v>
      </c>
      <c r="V137" s="249">
        <f t="shared" si="23"/>
        <v>3.4031250000000002</v>
      </c>
      <c r="W137" s="250"/>
      <c r="X137" s="250"/>
      <c r="Y137" s="632">
        <f t="shared" si="28"/>
        <v>60</v>
      </c>
      <c r="Z137" s="305">
        <v>960</v>
      </c>
      <c r="AA137" s="251">
        <v>28000</v>
      </c>
      <c r="AB137" s="250">
        <f t="shared" si="26"/>
        <v>0.64279155188246095</v>
      </c>
      <c r="AC137" s="250">
        <f t="shared" si="27"/>
        <v>10.284664830119375</v>
      </c>
      <c r="AD137" s="245"/>
      <c r="AE137" s="344" t="s">
        <v>1029</v>
      </c>
      <c r="AF137" s="252">
        <v>4</v>
      </c>
      <c r="AG137" s="253" t="s">
        <v>541</v>
      </c>
      <c r="AH137" s="254" t="s">
        <v>1055</v>
      </c>
      <c r="AI137" s="521"/>
      <c r="AJ137" s="522"/>
    </row>
    <row r="138" spans="1:36" s="523" customFormat="1">
      <c r="A138" s="240" t="s">
        <v>854</v>
      </c>
      <c r="B138" s="247" t="s">
        <v>149</v>
      </c>
      <c r="C138" s="102" t="s">
        <v>47</v>
      </c>
      <c r="D138" s="397" t="s">
        <v>883</v>
      </c>
      <c r="E138" s="397" t="s">
        <v>883</v>
      </c>
      <c r="F138" s="397" t="s">
        <v>1094</v>
      </c>
      <c r="G138" s="396" t="s">
        <v>1094</v>
      </c>
      <c r="H138" s="396" t="s">
        <v>883</v>
      </c>
      <c r="I138" s="396" t="s">
        <v>1094</v>
      </c>
      <c r="J138" s="396" t="s">
        <v>883</v>
      </c>
      <c r="K138" s="248">
        <f t="shared" si="25"/>
        <v>4.2857142857142859E-3</v>
      </c>
      <c r="L138" s="401" t="s">
        <v>883</v>
      </c>
      <c r="M138" s="401" t="s">
        <v>1094</v>
      </c>
      <c r="N138" s="401" t="s">
        <v>1094</v>
      </c>
      <c r="O138" s="401" t="s">
        <v>883</v>
      </c>
      <c r="P138" s="401" t="s">
        <v>883</v>
      </c>
      <c r="Q138" s="401" t="s">
        <v>1094</v>
      </c>
      <c r="R138" s="401" t="s">
        <v>883</v>
      </c>
      <c r="S138" s="401" t="s">
        <v>1094</v>
      </c>
      <c r="T138" s="401" t="s">
        <v>883</v>
      </c>
      <c r="U138" s="401" t="s">
        <v>883</v>
      </c>
      <c r="V138" s="249">
        <f t="shared" si="23"/>
        <v>6.8062500000000004</v>
      </c>
      <c r="W138" s="250"/>
      <c r="X138" s="250"/>
      <c r="Y138" s="632">
        <f t="shared" si="28"/>
        <v>60</v>
      </c>
      <c r="Z138" s="305">
        <v>960</v>
      </c>
      <c r="AA138" s="251">
        <v>14000</v>
      </c>
      <c r="AB138" s="250">
        <f t="shared" si="26"/>
        <v>0.32139577594123048</v>
      </c>
      <c r="AC138" s="250">
        <f t="shared" si="27"/>
        <v>5.1423324150596876</v>
      </c>
      <c r="AD138" s="245"/>
      <c r="AE138" s="344" t="s">
        <v>1029</v>
      </c>
      <c r="AF138" s="252">
        <v>10</v>
      </c>
      <c r="AG138" s="253" t="s">
        <v>541</v>
      </c>
      <c r="AH138" s="254" t="s">
        <v>1055</v>
      </c>
      <c r="AI138" s="521"/>
      <c r="AJ138" s="522"/>
    </row>
    <row r="139" spans="1:36" s="521" customFormat="1">
      <c r="A139" s="240" t="s">
        <v>854</v>
      </c>
      <c r="B139" s="255" t="s">
        <v>129</v>
      </c>
      <c r="C139" s="102" t="s">
        <v>25</v>
      </c>
      <c r="D139" s="397" t="s">
        <v>883</v>
      </c>
      <c r="E139" s="395" t="s">
        <v>883</v>
      </c>
      <c r="F139" s="395" t="s">
        <v>1094</v>
      </c>
      <c r="G139" s="396" t="s">
        <v>1094</v>
      </c>
      <c r="H139" s="396" t="s">
        <v>1094</v>
      </c>
      <c r="I139" s="396" t="s">
        <v>1094</v>
      </c>
      <c r="J139" s="396" t="s">
        <v>883</v>
      </c>
      <c r="K139" s="248">
        <f t="shared" si="25"/>
        <v>2.0833333333333335E-4</v>
      </c>
      <c r="L139" s="401" t="s">
        <v>883</v>
      </c>
      <c r="M139" s="401" t="s">
        <v>1094</v>
      </c>
      <c r="N139" s="401" t="s">
        <v>883</v>
      </c>
      <c r="O139" s="401" t="s">
        <v>883</v>
      </c>
      <c r="P139" s="401" t="s">
        <v>883</v>
      </c>
      <c r="Q139" s="401" t="s">
        <v>883</v>
      </c>
      <c r="R139" s="401" t="s">
        <v>1094</v>
      </c>
      <c r="S139" s="401" t="s">
        <v>883</v>
      </c>
      <c r="T139" s="401" t="s">
        <v>1094</v>
      </c>
      <c r="U139" s="401" t="s">
        <v>1094</v>
      </c>
      <c r="V139" s="249">
        <f t="shared" si="23"/>
        <v>1.0587500000000001</v>
      </c>
      <c r="W139" s="250"/>
      <c r="X139" s="250"/>
      <c r="Y139" s="632">
        <f t="shared" si="28"/>
        <v>18.75</v>
      </c>
      <c r="Z139" s="305">
        <v>300</v>
      </c>
      <c r="AA139" s="251">
        <v>90000</v>
      </c>
      <c r="AB139" s="250">
        <f t="shared" si="26"/>
        <v>2.0661157024793386</v>
      </c>
      <c r="AC139" s="250">
        <f t="shared" si="27"/>
        <v>33.057851239669418</v>
      </c>
      <c r="AD139" s="261"/>
      <c r="AE139" s="246"/>
      <c r="AF139" s="252">
        <v>6</v>
      </c>
      <c r="AG139" s="253" t="s">
        <v>541</v>
      </c>
      <c r="AH139" s="254" t="s">
        <v>1055</v>
      </c>
    </row>
    <row r="140" spans="1:36" s="521" customFormat="1">
      <c r="A140" s="263"/>
      <c r="B140" s="559"/>
      <c r="C140" s="561"/>
      <c r="D140" s="564"/>
      <c r="E140" s="563"/>
      <c r="F140" s="563"/>
      <c r="G140" s="565"/>
      <c r="H140" s="565"/>
      <c r="I140" s="565"/>
      <c r="J140" s="565"/>
      <c r="K140" s="585"/>
      <c r="L140" s="556"/>
      <c r="M140" s="556"/>
      <c r="N140" s="556"/>
      <c r="O140" s="556"/>
      <c r="P140" s="556"/>
      <c r="Q140" s="556"/>
      <c r="R140" s="556"/>
      <c r="S140" s="556"/>
      <c r="T140" s="556"/>
      <c r="U140" s="556"/>
      <c r="V140" s="583"/>
      <c r="W140" s="567"/>
      <c r="X140" s="567"/>
      <c r="Y140" s="567"/>
      <c r="Z140" s="568"/>
      <c r="AA140" s="569"/>
      <c r="AB140" s="584"/>
      <c r="AC140" s="584"/>
      <c r="AD140" s="571"/>
      <c r="AE140" s="226"/>
      <c r="AF140" s="572"/>
      <c r="AG140" s="573"/>
      <c r="AH140" s="574"/>
    </row>
    <row r="141" spans="1:36" ht="51">
      <c r="A141" s="232" t="s">
        <v>852</v>
      </c>
      <c r="B141" s="334" t="s">
        <v>857</v>
      </c>
      <c r="C141" s="234" t="s">
        <v>885</v>
      </c>
      <c r="D141" s="232" t="s">
        <v>1091</v>
      </c>
      <c r="E141" s="232" t="s">
        <v>1092</v>
      </c>
      <c r="F141" s="232" t="s">
        <v>1093</v>
      </c>
      <c r="G141" s="235" t="s">
        <v>1095</v>
      </c>
      <c r="H141" s="235" t="s">
        <v>1096</v>
      </c>
      <c r="I141" s="235" t="s">
        <v>1097</v>
      </c>
      <c r="J141" s="235" t="s">
        <v>1099</v>
      </c>
      <c r="K141" s="335" t="s">
        <v>1290</v>
      </c>
      <c r="L141" s="235" t="s">
        <v>1101</v>
      </c>
      <c r="M141" s="235" t="s">
        <v>1012</v>
      </c>
      <c r="N141" s="235" t="s">
        <v>1100</v>
      </c>
      <c r="O141" s="235" t="s">
        <v>1007</v>
      </c>
      <c r="P141" s="235" t="s">
        <v>1005</v>
      </c>
      <c r="Q141" s="235" t="s">
        <v>1009</v>
      </c>
      <c r="R141" s="235" t="s">
        <v>146</v>
      </c>
      <c r="S141" s="235" t="s">
        <v>1008</v>
      </c>
      <c r="T141" s="235" t="s">
        <v>1006</v>
      </c>
      <c r="U141" s="235" t="s">
        <v>145</v>
      </c>
    </row>
    <row r="142" spans="1:36">
      <c r="A142" s="232"/>
      <c r="B142" s="233"/>
      <c r="C142" s="234"/>
      <c r="D142" s="638" t="str">
        <f>IF(Calculator!$A$4=1,"X","")</f>
        <v/>
      </c>
      <c r="E142" s="638" t="str">
        <f>IF(Calculator!$A$4=2,"X","")</f>
        <v/>
      </c>
      <c r="F142" s="638" t="str">
        <f>IF(Calculator!$A$4=3,"X","")</f>
        <v/>
      </c>
      <c r="G142" s="638" t="str">
        <f>IF(Calculator!$A$6=1,"X","")</f>
        <v/>
      </c>
      <c r="H142" s="638" t="str">
        <f>IF(Calculator!$A$6=2,"X","")</f>
        <v/>
      </c>
      <c r="I142" s="638" t="str">
        <f>IF(Calculator!$A$6=3,"X","")</f>
        <v/>
      </c>
      <c r="J142" s="638" t="str">
        <f>IF(Calculator!$A$6=4,"X","")</f>
        <v/>
      </c>
      <c r="K142" s="242" t="str">
        <f>IF(Calculator!$A$8=2,"&lt;.0069","&gt;0")</f>
        <v>&gt;0</v>
      </c>
      <c r="L142" s="242" t="str">
        <f>IF(Calculator!$C$2="ALL","X","")</f>
        <v/>
      </c>
      <c r="M142" s="242" t="str">
        <f>IF(Calculator!$C$2="C","X","")</f>
        <v/>
      </c>
      <c r="N142" s="242" t="str">
        <f>IF(Calculator!$C$2="EC","X","")</f>
        <v/>
      </c>
      <c r="O142" s="242" t="str">
        <f>IF(Calculator!$C$2="NC","X","")</f>
        <v/>
      </c>
      <c r="P142" s="242" t="str">
        <f>IF(Calculator!$C$2="NE","X","")</f>
        <v/>
      </c>
      <c r="Q142" s="242" t="str">
        <f>IF(Calculator!$C$2="NW","X","")</f>
        <v/>
      </c>
      <c r="R142" s="242" t="str">
        <f>IF(Calculator!$C$2="SC","X","")</f>
        <v/>
      </c>
      <c r="S142" s="242" t="str">
        <f>IF(Calculator!$C$2="SE","X","")</f>
        <v/>
      </c>
      <c r="T142" s="242" t="str">
        <f>IF(Calculator!$C$2="SW","X","")</f>
        <v/>
      </c>
      <c r="U142" s="242" t="str">
        <f>IF(Calculator!$C$2="WC","X","")</f>
        <v/>
      </c>
    </row>
    <row r="143" spans="1:36">
      <c r="A143" s="231"/>
      <c r="C143" s="391"/>
      <c r="K143" s="392"/>
      <c r="L143" s="392"/>
      <c r="M143" s="392"/>
      <c r="N143" s="392"/>
      <c r="O143" s="392"/>
      <c r="P143" s="392"/>
      <c r="Q143" s="392"/>
      <c r="R143" s="392"/>
      <c r="S143" s="392"/>
      <c r="T143" s="392"/>
      <c r="U143" s="392"/>
    </row>
    <row r="145" spans="1:35" s="109" customFormat="1" ht="51">
      <c r="A145" s="232" t="s">
        <v>852</v>
      </c>
      <c r="B145" s="334" t="s">
        <v>857</v>
      </c>
      <c r="C145" s="234" t="s">
        <v>885</v>
      </c>
      <c r="D145" s="232" t="s">
        <v>1091</v>
      </c>
      <c r="E145" s="232" t="s">
        <v>1092</v>
      </c>
      <c r="F145" s="232" t="s">
        <v>1093</v>
      </c>
      <c r="G145" s="235" t="s">
        <v>1095</v>
      </c>
      <c r="H145" s="235" t="s">
        <v>1096</v>
      </c>
      <c r="I145" s="235" t="s">
        <v>1097</v>
      </c>
      <c r="J145" s="235" t="s">
        <v>1099</v>
      </c>
      <c r="K145" s="335" t="s">
        <v>1290</v>
      </c>
      <c r="L145" s="235" t="s">
        <v>1101</v>
      </c>
      <c r="M145" s="235" t="s">
        <v>1012</v>
      </c>
      <c r="N145" s="235" t="s">
        <v>1100</v>
      </c>
      <c r="O145" s="235" t="s">
        <v>1007</v>
      </c>
      <c r="P145" s="235" t="s">
        <v>1005</v>
      </c>
      <c r="Q145" s="235" t="s">
        <v>1009</v>
      </c>
      <c r="R145" s="235" t="s">
        <v>146</v>
      </c>
      <c r="S145" s="235" t="s">
        <v>1008</v>
      </c>
      <c r="T145" s="235" t="s">
        <v>1006</v>
      </c>
      <c r="U145" s="235" t="s">
        <v>145</v>
      </c>
      <c r="V145" s="348"/>
      <c r="W145" s="480"/>
      <c r="X145" s="480"/>
      <c r="Y145" s="93"/>
      <c r="Z145" s="348"/>
      <c r="AA145" s="481"/>
      <c r="AB145" s="348"/>
      <c r="AC145" s="348"/>
      <c r="AD145" s="348"/>
      <c r="AE145" s="348"/>
      <c r="AF145" s="392"/>
      <c r="AG145" s="348"/>
      <c r="AH145" s="348"/>
      <c r="AI145" s="1"/>
    </row>
    <row r="146" spans="1:35" s="109" customFormat="1">
      <c r="A146" s="239" t="s">
        <v>890</v>
      </c>
      <c r="B146" s="239"/>
      <c r="C146" s="117" t="s">
        <v>883</v>
      </c>
      <c r="D146" s="403" t="s">
        <v>1094</v>
      </c>
      <c r="E146" s="403" t="s">
        <v>1094</v>
      </c>
      <c r="F146" s="403" t="s">
        <v>1094</v>
      </c>
      <c r="G146" s="336" t="s">
        <v>1094</v>
      </c>
      <c r="H146" s="336" t="s">
        <v>1094</v>
      </c>
      <c r="I146" s="336" t="s">
        <v>1094</v>
      </c>
      <c r="J146" s="336" t="s">
        <v>1094</v>
      </c>
      <c r="K146" s="240">
        <v>1.0000000000000001E-5</v>
      </c>
      <c r="L146" s="336" t="s">
        <v>1094</v>
      </c>
      <c r="M146" s="336" t="s">
        <v>1094</v>
      </c>
      <c r="N146" s="336" t="s">
        <v>1094</v>
      </c>
      <c r="O146" s="336" t="s">
        <v>1094</v>
      </c>
      <c r="P146" s="336" t="s">
        <v>1094</v>
      </c>
      <c r="Q146" s="336" t="s">
        <v>1094</v>
      </c>
      <c r="R146" s="336" t="s">
        <v>1094</v>
      </c>
      <c r="S146" s="336" t="s">
        <v>1094</v>
      </c>
      <c r="T146" s="336" t="s">
        <v>1094</v>
      </c>
      <c r="U146" s="336" t="s">
        <v>1094</v>
      </c>
      <c r="V146" s="348"/>
      <c r="W146" s="480"/>
      <c r="X146" s="480"/>
      <c r="Y146" s="93"/>
      <c r="Z146" s="348"/>
      <c r="AA146" s="481"/>
      <c r="AB146" s="348"/>
      <c r="AC146" s="348"/>
      <c r="AD146" s="348"/>
      <c r="AE146" s="348"/>
      <c r="AF146" s="392"/>
      <c r="AG146" s="348"/>
      <c r="AH146" s="348"/>
      <c r="AI146" s="1"/>
    </row>
    <row r="147" spans="1:35" s="109" customFormat="1">
      <c r="A147" s="240" t="s">
        <v>854</v>
      </c>
      <c r="B147" s="247" t="s">
        <v>174</v>
      </c>
      <c r="C147" s="102" t="s">
        <v>75</v>
      </c>
      <c r="D147" s="406" t="s">
        <v>883</v>
      </c>
      <c r="E147" s="406" t="s">
        <v>1094</v>
      </c>
      <c r="F147" s="406" t="s">
        <v>883</v>
      </c>
      <c r="G147" s="404" t="s">
        <v>883</v>
      </c>
      <c r="H147" s="404" t="s">
        <v>883</v>
      </c>
      <c r="I147" s="404" t="s">
        <v>883</v>
      </c>
      <c r="J147" s="404" t="s">
        <v>1094</v>
      </c>
      <c r="K147" s="248">
        <v>1.1249999999999999E-3</v>
      </c>
      <c r="L147" s="405" t="s">
        <v>883</v>
      </c>
      <c r="M147" s="405" t="s">
        <v>1094</v>
      </c>
      <c r="N147" s="405" t="s">
        <v>883</v>
      </c>
      <c r="O147" s="405" t="s">
        <v>883</v>
      </c>
      <c r="P147" s="405" t="s">
        <v>883</v>
      </c>
      <c r="Q147" s="405" t="s">
        <v>883</v>
      </c>
      <c r="R147" s="405" t="s">
        <v>1094</v>
      </c>
      <c r="S147" s="405" t="s">
        <v>1094</v>
      </c>
      <c r="T147" s="405" t="s">
        <v>1094</v>
      </c>
      <c r="U147" s="405" t="s">
        <v>883</v>
      </c>
      <c r="V147" s="348"/>
      <c r="W147" s="480"/>
      <c r="X147" s="480"/>
      <c r="Y147" s="93"/>
      <c r="Z147" s="348"/>
      <c r="AA147" s="481"/>
      <c r="AB147" s="348"/>
      <c r="AC147" s="348"/>
      <c r="AD147" s="348"/>
      <c r="AE147" s="348"/>
      <c r="AF147" s="392"/>
      <c r="AG147" s="348"/>
      <c r="AH147" s="348"/>
      <c r="AI147" s="1"/>
    </row>
    <row r="148" spans="1:35" s="109" customFormat="1">
      <c r="A148" s="240" t="s">
        <v>854</v>
      </c>
      <c r="B148" s="255" t="s">
        <v>187</v>
      </c>
      <c r="C148" s="102" t="s">
        <v>88</v>
      </c>
      <c r="D148" s="406" t="s">
        <v>883</v>
      </c>
      <c r="E148" s="256" t="s">
        <v>883</v>
      </c>
      <c r="F148" s="256" t="s">
        <v>1094</v>
      </c>
      <c r="G148" s="404" t="s">
        <v>1094</v>
      </c>
      <c r="H148" s="404" t="s">
        <v>883</v>
      </c>
      <c r="I148" s="404" t="s">
        <v>1094</v>
      </c>
      <c r="J148" s="404" t="s">
        <v>883</v>
      </c>
      <c r="K148" s="248">
        <v>5.8593749999999998E-5</v>
      </c>
      <c r="L148" s="405" t="s">
        <v>883</v>
      </c>
      <c r="M148" s="405" t="s">
        <v>1094</v>
      </c>
      <c r="N148" s="405" t="s">
        <v>1094</v>
      </c>
      <c r="O148" s="405" t="s">
        <v>1094</v>
      </c>
      <c r="P148" s="405" t="s">
        <v>1094</v>
      </c>
      <c r="Q148" s="405" t="s">
        <v>1094</v>
      </c>
      <c r="R148" s="405" t="s">
        <v>883</v>
      </c>
      <c r="S148" s="405" t="s">
        <v>883</v>
      </c>
      <c r="T148" s="405" t="s">
        <v>883</v>
      </c>
      <c r="U148" s="405" t="s">
        <v>1094</v>
      </c>
      <c r="V148" s="348"/>
      <c r="W148" s="480"/>
      <c r="X148" s="480"/>
      <c r="Y148" s="93"/>
      <c r="Z148" s="348"/>
      <c r="AA148" s="481"/>
      <c r="AB148" s="348"/>
      <c r="AC148" s="348"/>
      <c r="AD148" s="348"/>
      <c r="AE148" s="348"/>
      <c r="AF148" s="392"/>
      <c r="AG148" s="348"/>
      <c r="AH148" s="348"/>
      <c r="AI148" s="1"/>
    </row>
    <row r="149" spans="1:35" s="109" customFormat="1">
      <c r="A149" s="240" t="s">
        <v>854</v>
      </c>
      <c r="B149" s="247" t="s">
        <v>120</v>
      </c>
      <c r="C149" s="102" t="s">
        <v>18</v>
      </c>
      <c r="D149" s="406" t="s">
        <v>883</v>
      </c>
      <c r="E149" s="406" t="s">
        <v>883</v>
      </c>
      <c r="F149" s="406" t="s">
        <v>1094</v>
      </c>
      <c r="G149" s="404" t="s">
        <v>1094</v>
      </c>
      <c r="H149" s="404" t="s">
        <v>1094</v>
      </c>
      <c r="I149" s="404" t="s">
        <v>1094</v>
      </c>
      <c r="J149" s="404" t="s">
        <v>883</v>
      </c>
      <c r="K149" s="248">
        <v>2.5000000000000001E-5</v>
      </c>
      <c r="L149" s="405" t="s">
        <v>883</v>
      </c>
      <c r="M149" s="405" t="s">
        <v>883</v>
      </c>
      <c r="N149" s="405" t="s">
        <v>883</v>
      </c>
      <c r="O149" s="405" t="s">
        <v>883</v>
      </c>
      <c r="P149" s="405" t="s">
        <v>883</v>
      </c>
      <c r="Q149" s="405" t="s">
        <v>1094</v>
      </c>
      <c r="R149" s="405" t="s">
        <v>883</v>
      </c>
      <c r="S149" s="405" t="s">
        <v>883</v>
      </c>
      <c r="T149" s="405" t="s">
        <v>883</v>
      </c>
      <c r="U149" s="405" t="s">
        <v>883</v>
      </c>
      <c r="V149" s="348"/>
      <c r="W149" s="480"/>
      <c r="X149" s="480"/>
      <c r="Y149" s="93"/>
      <c r="Z149" s="348"/>
      <c r="AA149" s="481"/>
      <c r="AB149" s="348"/>
      <c r="AC149" s="348"/>
      <c r="AD149" s="348"/>
      <c r="AE149" s="348"/>
      <c r="AF149" s="392"/>
      <c r="AG149" s="348"/>
      <c r="AH149" s="348"/>
      <c r="AI149" s="1"/>
    </row>
    <row r="150" spans="1:35" s="109" customFormat="1">
      <c r="A150" s="240" t="s">
        <v>854</v>
      </c>
      <c r="B150" s="255" t="s">
        <v>125</v>
      </c>
      <c r="C150" s="102" t="s">
        <v>21</v>
      </c>
      <c r="D150" s="256" t="s">
        <v>1094</v>
      </c>
      <c r="E150" s="256" t="s">
        <v>883</v>
      </c>
      <c r="F150" s="406" t="s">
        <v>883</v>
      </c>
      <c r="G150" s="404" t="s">
        <v>1094</v>
      </c>
      <c r="H150" s="404" t="s">
        <v>1094</v>
      </c>
      <c r="I150" s="404" t="s">
        <v>883</v>
      </c>
      <c r="J150" s="404" t="s">
        <v>1094</v>
      </c>
      <c r="K150" s="248">
        <v>4.6874999999999998E-4</v>
      </c>
      <c r="L150" s="405" t="s">
        <v>883</v>
      </c>
      <c r="M150" s="405" t="s">
        <v>1094</v>
      </c>
      <c r="N150" s="405" t="s">
        <v>1094</v>
      </c>
      <c r="O150" s="405" t="s">
        <v>883</v>
      </c>
      <c r="P150" s="405" t="s">
        <v>1094</v>
      </c>
      <c r="Q150" s="405" t="s">
        <v>883</v>
      </c>
      <c r="R150" s="405" t="s">
        <v>883</v>
      </c>
      <c r="S150" s="405" t="s">
        <v>1094</v>
      </c>
      <c r="T150" s="405" t="s">
        <v>883</v>
      </c>
      <c r="U150" s="405" t="s">
        <v>883</v>
      </c>
      <c r="V150" s="348"/>
      <c r="W150" s="480"/>
      <c r="X150" s="480"/>
      <c r="Y150" s="93"/>
      <c r="Z150" s="348"/>
      <c r="AA150" s="481"/>
      <c r="AB150" s="348"/>
      <c r="AC150" s="348"/>
      <c r="AD150" s="348"/>
      <c r="AE150" s="348"/>
      <c r="AF150" s="392"/>
      <c r="AG150" s="348"/>
      <c r="AH150" s="348"/>
      <c r="AI150" s="1"/>
    </row>
    <row r="151" spans="1:35" s="109" customFormat="1">
      <c r="A151" s="240" t="s">
        <v>854</v>
      </c>
      <c r="B151" s="255" t="s">
        <v>193</v>
      </c>
      <c r="C151" s="102" t="s">
        <v>94</v>
      </c>
      <c r="D151" s="406" t="s">
        <v>883</v>
      </c>
      <c r="E151" s="256" t="s">
        <v>1094</v>
      </c>
      <c r="F151" s="256" t="s">
        <v>1094</v>
      </c>
      <c r="G151" s="404" t="s">
        <v>1094</v>
      </c>
      <c r="H151" s="404" t="s">
        <v>883</v>
      </c>
      <c r="I151" s="404" t="s">
        <v>1094</v>
      </c>
      <c r="J151" s="404" t="s">
        <v>883</v>
      </c>
      <c r="K151" s="248">
        <v>7.4999999999999993E-5</v>
      </c>
      <c r="L151" s="405" t="s">
        <v>1094</v>
      </c>
      <c r="M151" s="405" t="s">
        <v>1094</v>
      </c>
      <c r="N151" s="405" t="s">
        <v>1094</v>
      </c>
      <c r="O151" s="405" t="s">
        <v>1094</v>
      </c>
      <c r="P151" s="405" t="s">
        <v>1094</v>
      </c>
      <c r="Q151" s="405" t="s">
        <v>1094</v>
      </c>
      <c r="R151" s="405" t="s">
        <v>1094</v>
      </c>
      <c r="S151" s="405" t="s">
        <v>1094</v>
      </c>
      <c r="T151" s="405" t="s">
        <v>1094</v>
      </c>
      <c r="U151" s="405" t="s">
        <v>1094</v>
      </c>
      <c r="V151" s="348"/>
      <c r="W151" s="480"/>
      <c r="X151" s="480"/>
      <c r="Y151" s="93"/>
      <c r="Z151" s="348"/>
      <c r="AA151" s="481"/>
      <c r="AB151" s="348"/>
      <c r="AC151" s="348"/>
      <c r="AD151" s="348"/>
      <c r="AE151" s="348"/>
      <c r="AF151" s="392"/>
      <c r="AG151" s="348"/>
      <c r="AH151" s="348"/>
      <c r="AI151" s="1"/>
    </row>
    <row r="152" spans="1:35" s="109" customFormat="1">
      <c r="A152" s="240" t="s">
        <v>854</v>
      </c>
      <c r="B152" s="255" t="s">
        <v>277</v>
      </c>
      <c r="C152" s="102" t="s">
        <v>27</v>
      </c>
      <c r="D152" s="406" t="s">
        <v>883</v>
      </c>
      <c r="E152" s="256" t="s">
        <v>1094</v>
      </c>
      <c r="F152" s="256" t="s">
        <v>1094</v>
      </c>
      <c r="G152" s="404" t="s">
        <v>1094</v>
      </c>
      <c r="H152" s="404" t="s">
        <v>1094</v>
      </c>
      <c r="I152" s="404" t="s">
        <v>1094</v>
      </c>
      <c r="J152" s="404" t="s">
        <v>1094</v>
      </c>
      <c r="K152" s="248">
        <v>1.4705882352941175E-4</v>
      </c>
      <c r="L152" s="405" t="s">
        <v>1094</v>
      </c>
      <c r="M152" s="405" t="s">
        <v>1094</v>
      </c>
      <c r="N152" s="405" t="s">
        <v>1094</v>
      </c>
      <c r="O152" s="405" t="s">
        <v>1094</v>
      </c>
      <c r="P152" s="405" t="s">
        <v>1094</v>
      </c>
      <c r="Q152" s="405" t="s">
        <v>1094</v>
      </c>
      <c r="R152" s="405" t="s">
        <v>1094</v>
      </c>
      <c r="S152" s="405" t="s">
        <v>1094</v>
      </c>
      <c r="T152" s="405" t="s">
        <v>1094</v>
      </c>
      <c r="U152" s="405" t="s">
        <v>1094</v>
      </c>
      <c r="V152" s="348"/>
      <c r="W152" s="480"/>
      <c r="X152" s="480"/>
      <c r="Y152" s="93"/>
      <c r="Z152" s="348"/>
      <c r="AA152" s="481"/>
      <c r="AB152" s="348"/>
      <c r="AC152" s="348"/>
      <c r="AD152" s="348"/>
      <c r="AE152" s="348"/>
      <c r="AF152" s="392"/>
      <c r="AG152" s="348"/>
      <c r="AH152" s="348"/>
      <c r="AI152" s="1"/>
    </row>
    <row r="153" spans="1:35" s="109" customFormat="1">
      <c r="A153" s="240" t="s">
        <v>854</v>
      </c>
      <c r="B153" s="255" t="s">
        <v>278</v>
      </c>
      <c r="C153" s="102" t="s">
        <v>28</v>
      </c>
      <c r="D153" s="406" t="s">
        <v>883</v>
      </c>
      <c r="E153" s="256" t="s">
        <v>1094</v>
      </c>
      <c r="F153" s="256" t="s">
        <v>1094</v>
      </c>
      <c r="G153" s="404" t="s">
        <v>1094</v>
      </c>
      <c r="H153" s="404" t="s">
        <v>1094</v>
      </c>
      <c r="I153" s="404" t="s">
        <v>1094</v>
      </c>
      <c r="J153" s="404" t="s">
        <v>883</v>
      </c>
      <c r="K153" s="248">
        <v>5.5147058823529411E-4</v>
      </c>
      <c r="L153" s="405" t="s">
        <v>1094</v>
      </c>
      <c r="M153" s="405" t="s">
        <v>1094</v>
      </c>
      <c r="N153" s="405" t="s">
        <v>1094</v>
      </c>
      <c r="O153" s="405" t="s">
        <v>1094</v>
      </c>
      <c r="P153" s="405" t="s">
        <v>1094</v>
      </c>
      <c r="Q153" s="405" t="s">
        <v>1094</v>
      </c>
      <c r="R153" s="405" t="s">
        <v>1094</v>
      </c>
      <c r="S153" s="405" t="s">
        <v>1094</v>
      </c>
      <c r="T153" s="405" t="s">
        <v>1094</v>
      </c>
      <c r="U153" s="405" t="s">
        <v>1094</v>
      </c>
      <c r="V153" s="348"/>
      <c r="W153" s="480"/>
      <c r="X153" s="480"/>
      <c r="Y153" s="93"/>
      <c r="Z153" s="348"/>
      <c r="AA153" s="481"/>
      <c r="AB153" s="348"/>
      <c r="AC153" s="348"/>
      <c r="AD153" s="348"/>
      <c r="AE153" s="348"/>
      <c r="AF153" s="392"/>
      <c r="AG153" s="348"/>
      <c r="AH153" s="348"/>
      <c r="AI153" s="1"/>
    </row>
    <row r="154" spans="1:35" s="109" customFormat="1">
      <c r="A154" s="240" t="s">
        <v>854</v>
      </c>
      <c r="B154" s="255" t="s">
        <v>119</v>
      </c>
      <c r="C154" s="102" t="s">
        <v>1064</v>
      </c>
      <c r="D154" s="256" t="s">
        <v>1094</v>
      </c>
      <c r="E154" s="256" t="s">
        <v>1094</v>
      </c>
      <c r="F154" s="256" t="s">
        <v>1094</v>
      </c>
      <c r="G154" s="336" t="s">
        <v>1094</v>
      </c>
      <c r="H154" s="336" t="s">
        <v>1094</v>
      </c>
      <c r="I154" s="336" t="s">
        <v>883</v>
      </c>
      <c r="J154" s="404" t="s">
        <v>883</v>
      </c>
      <c r="K154" s="248">
        <v>4.375E-5</v>
      </c>
      <c r="L154" s="405" t="s">
        <v>1094</v>
      </c>
      <c r="M154" s="405" t="s">
        <v>1094</v>
      </c>
      <c r="N154" s="405" t="s">
        <v>1094</v>
      </c>
      <c r="O154" s="405" t="s">
        <v>1094</v>
      </c>
      <c r="P154" s="405" t="s">
        <v>1094</v>
      </c>
      <c r="Q154" s="405" t="s">
        <v>1094</v>
      </c>
      <c r="R154" s="405" t="s">
        <v>1094</v>
      </c>
      <c r="S154" s="405" t="s">
        <v>1094</v>
      </c>
      <c r="T154" s="405" t="s">
        <v>1094</v>
      </c>
      <c r="U154" s="405" t="s">
        <v>1094</v>
      </c>
      <c r="V154" s="348"/>
      <c r="W154" s="480"/>
      <c r="X154" s="480"/>
      <c r="Y154" s="93"/>
      <c r="Z154" s="348"/>
      <c r="AA154" s="481"/>
      <c r="AB154" s="348"/>
      <c r="AC154" s="348"/>
      <c r="AD154" s="348"/>
      <c r="AE154" s="348"/>
      <c r="AF154" s="392"/>
      <c r="AG154" s="348"/>
      <c r="AH154" s="348"/>
      <c r="AI154" s="1"/>
    </row>
    <row r="155" spans="1:35" s="109" customFormat="1">
      <c r="A155" s="240" t="s">
        <v>854</v>
      </c>
      <c r="B155" s="255" t="s">
        <v>170</v>
      </c>
      <c r="C155" s="102" t="s">
        <v>70</v>
      </c>
      <c r="D155" s="406" t="s">
        <v>883</v>
      </c>
      <c r="E155" s="406" t="s">
        <v>883</v>
      </c>
      <c r="F155" s="256" t="s">
        <v>1094</v>
      </c>
      <c r="G155" s="404" t="s">
        <v>1094</v>
      </c>
      <c r="H155" s="404" t="s">
        <v>1094</v>
      </c>
      <c r="I155" s="404" t="s">
        <v>1094</v>
      </c>
      <c r="J155" s="404" t="s">
        <v>883</v>
      </c>
      <c r="K155" s="248">
        <v>2.5000000000000001E-3</v>
      </c>
      <c r="L155" s="405" t="s">
        <v>1094</v>
      </c>
      <c r="M155" s="405" t="s">
        <v>1094</v>
      </c>
      <c r="N155" s="405" t="s">
        <v>1094</v>
      </c>
      <c r="O155" s="405" t="s">
        <v>1094</v>
      </c>
      <c r="P155" s="405" t="s">
        <v>1094</v>
      </c>
      <c r="Q155" s="405" t="s">
        <v>1094</v>
      </c>
      <c r="R155" s="405" t="s">
        <v>1094</v>
      </c>
      <c r="S155" s="405" t="s">
        <v>1094</v>
      </c>
      <c r="T155" s="405" t="s">
        <v>1094</v>
      </c>
      <c r="U155" s="405" t="s">
        <v>1094</v>
      </c>
      <c r="V155" s="348"/>
      <c r="W155" s="480"/>
      <c r="X155" s="480"/>
      <c r="Y155" s="93"/>
      <c r="Z155" s="348"/>
      <c r="AA155" s="481"/>
      <c r="AB155" s="348"/>
      <c r="AC155" s="348"/>
      <c r="AD155" s="348"/>
      <c r="AE155" s="348"/>
      <c r="AF155" s="392"/>
      <c r="AG155" s="348"/>
      <c r="AH155" s="348"/>
      <c r="AI155" s="1"/>
    </row>
    <row r="156" spans="1:35" s="109" customFormat="1">
      <c r="A156" s="240" t="s">
        <v>854</v>
      </c>
      <c r="B156" s="255" t="s">
        <v>122</v>
      </c>
      <c r="C156" s="102" t="s">
        <v>864</v>
      </c>
      <c r="D156" s="256" t="s">
        <v>1094</v>
      </c>
      <c r="E156" s="406" t="s">
        <v>883</v>
      </c>
      <c r="F156" s="406" t="s">
        <v>883</v>
      </c>
      <c r="G156" s="404" t="s">
        <v>1094</v>
      </c>
      <c r="H156" s="404" t="s">
        <v>1094</v>
      </c>
      <c r="I156" s="404" t="s">
        <v>883</v>
      </c>
      <c r="J156" s="404" t="s">
        <v>883</v>
      </c>
      <c r="K156" s="248">
        <v>2.34375E-5</v>
      </c>
      <c r="L156" s="405" t="s">
        <v>883</v>
      </c>
      <c r="M156" s="405" t="s">
        <v>1094</v>
      </c>
      <c r="N156" s="405" t="s">
        <v>883</v>
      </c>
      <c r="O156" s="405" t="s">
        <v>883</v>
      </c>
      <c r="P156" s="405" t="s">
        <v>883</v>
      </c>
      <c r="Q156" s="405" t="s">
        <v>1094</v>
      </c>
      <c r="R156" s="405" t="s">
        <v>883</v>
      </c>
      <c r="S156" s="405" t="s">
        <v>883</v>
      </c>
      <c r="T156" s="405" t="s">
        <v>1094</v>
      </c>
      <c r="U156" s="405" t="s">
        <v>1094</v>
      </c>
      <c r="V156" s="348"/>
      <c r="W156" s="480"/>
      <c r="X156" s="480"/>
      <c r="Y156" s="93"/>
      <c r="Z156" s="348"/>
      <c r="AA156" s="481"/>
      <c r="AB156" s="348"/>
      <c r="AC156" s="348"/>
      <c r="AD156" s="348"/>
      <c r="AE156" s="348"/>
      <c r="AF156" s="392"/>
      <c r="AG156" s="348"/>
      <c r="AH156" s="348"/>
      <c r="AI156" s="1"/>
    </row>
    <row r="157" spans="1:35" s="109" customFormat="1">
      <c r="A157" s="242" t="s">
        <v>854</v>
      </c>
      <c r="B157" s="255" t="s">
        <v>127</v>
      </c>
      <c r="C157" s="102" t="s">
        <v>23</v>
      </c>
      <c r="D157" s="256" t="s">
        <v>883</v>
      </c>
      <c r="E157" s="256" t="s">
        <v>883</v>
      </c>
      <c r="F157" s="256" t="s">
        <v>1094</v>
      </c>
      <c r="G157" s="404" t="s">
        <v>1094</v>
      </c>
      <c r="H157" s="404" t="s">
        <v>1094</v>
      </c>
      <c r="I157" s="404" t="s">
        <v>1094</v>
      </c>
      <c r="J157" s="404" t="s">
        <v>883</v>
      </c>
      <c r="K157" s="248">
        <v>8.3705357142857144E-5</v>
      </c>
      <c r="L157" s="405" t="s">
        <v>1094</v>
      </c>
      <c r="M157" s="405" t="s">
        <v>1094</v>
      </c>
      <c r="N157" s="405" t="s">
        <v>1094</v>
      </c>
      <c r="O157" s="405" t="s">
        <v>1094</v>
      </c>
      <c r="P157" s="405" t="s">
        <v>1094</v>
      </c>
      <c r="Q157" s="405" t="s">
        <v>1094</v>
      </c>
      <c r="R157" s="405" t="s">
        <v>1094</v>
      </c>
      <c r="S157" s="405" t="s">
        <v>1094</v>
      </c>
      <c r="T157" s="405" t="s">
        <v>1094</v>
      </c>
      <c r="U157" s="405" t="s">
        <v>1094</v>
      </c>
      <c r="V157" s="348"/>
      <c r="W157" s="480"/>
      <c r="X157" s="480"/>
      <c r="Y157" s="93"/>
      <c r="Z157" s="348"/>
      <c r="AA157" s="481"/>
      <c r="AB157" s="348"/>
      <c r="AC157" s="348"/>
      <c r="AD157" s="348"/>
      <c r="AE157" s="348"/>
      <c r="AF157" s="392"/>
      <c r="AG157" s="348"/>
      <c r="AH157" s="348"/>
      <c r="AI157" s="1"/>
    </row>
    <row r="158" spans="1:35" s="109" customFormat="1">
      <c r="A158" s="240" t="s">
        <v>854</v>
      </c>
      <c r="B158" s="255" t="s">
        <v>166</v>
      </c>
      <c r="C158" s="102" t="s">
        <v>65</v>
      </c>
      <c r="D158" s="406" t="s">
        <v>883</v>
      </c>
      <c r="E158" s="406" t="s">
        <v>883</v>
      </c>
      <c r="F158" s="256" t="s">
        <v>1094</v>
      </c>
      <c r="G158" s="404" t="s">
        <v>1094</v>
      </c>
      <c r="H158" s="404" t="s">
        <v>1094</v>
      </c>
      <c r="I158" s="404" t="s">
        <v>1094</v>
      </c>
      <c r="J158" s="404" t="s">
        <v>883</v>
      </c>
      <c r="K158" s="248">
        <v>3.1250000000000001E-4</v>
      </c>
      <c r="L158" s="405" t="s">
        <v>1094</v>
      </c>
      <c r="M158" s="405" t="s">
        <v>1094</v>
      </c>
      <c r="N158" s="405" t="s">
        <v>1094</v>
      </c>
      <c r="O158" s="405" t="s">
        <v>1094</v>
      </c>
      <c r="P158" s="405" t="s">
        <v>1094</v>
      </c>
      <c r="Q158" s="405" t="s">
        <v>1094</v>
      </c>
      <c r="R158" s="405" t="s">
        <v>1094</v>
      </c>
      <c r="S158" s="405" t="s">
        <v>1094</v>
      </c>
      <c r="T158" s="405" t="s">
        <v>1094</v>
      </c>
      <c r="U158" s="405" t="s">
        <v>1094</v>
      </c>
      <c r="V158" s="348"/>
      <c r="W158" s="480"/>
      <c r="X158" s="480"/>
      <c r="Y158" s="93"/>
      <c r="Z158" s="348"/>
      <c r="AA158" s="481"/>
      <c r="AB158" s="348"/>
      <c r="AC158" s="348"/>
      <c r="AD158" s="348"/>
      <c r="AE158" s="348"/>
      <c r="AF158" s="392"/>
      <c r="AG158" s="348"/>
      <c r="AH158" s="348"/>
      <c r="AI158" s="1"/>
    </row>
    <row r="159" spans="1:35" s="109" customFormat="1">
      <c r="A159" s="240" t="s">
        <v>854</v>
      </c>
      <c r="B159" s="247" t="s">
        <v>177</v>
      </c>
      <c r="C159" s="102" t="s">
        <v>80</v>
      </c>
      <c r="D159" s="406" t="s">
        <v>883</v>
      </c>
      <c r="E159" s="406" t="s">
        <v>883</v>
      </c>
      <c r="F159" s="406" t="s">
        <v>1094</v>
      </c>
      <c r="G159" s="404" t="s">
        <v>1094</v>
      </c>
      <c r="H159" s="404" t="s">
        <v>883</v>
      </c>
      <c r="I159" s="404" t="s">
        <v>1094</v>
      </c>
      <c r="J159" s="404" t="s">
        <v>883</v>
      </c>
      <c r="K159" s="248">
        <v>2.9999999999999997E-4</v>
      </c>
      <c r="L159" s="405" t="s">
        <v>1094</v>
      </c>
      <c r="M159" s="405" t="s">
        <v>1094</v>
      </c>
      <c r="N159" s="405" t="s">
        <v>1094</v>
      </c>
      <c r="O159" s="405" t="s">
        <v>1094</v>
      </c>
      <c r="P159" s="405" t="s">
        <v>1094</v>
      </c>
      <c r="Q159" s="405" t="s">
        <v>1094</v>
      </c>
      <c r="R159" s="405" t="s">
        <v>1094</v>
      </c>
      <c r="S159" s="405" t="s">
        <v>1094</v>
      </c>
      <c r="T159" s="405" t="s">
        <v>1094</v>
      </c>
      <c r="U159" s="405" t="s">
        <v>1094</v>
      </c>
      <c r="V159" s="348"/>
      <c r="W159" s="480"/>
      <c r="X159" s="480"/>
      <c r="Y159" s="93"/>
      <c r="Z159" s="348"/>
      <c r="AA159" s="481"/>
      <c r="AB159" s="348"/>
      <c r="AC159" s="348"/>
      <c r="AD159" s="348"/>
      <c r="AE159" s="348"/>
      <c r="AF159" s="392"/>
      <c r="AG159" s="348"/>
      <c r="AH159" s="348"/>
      <c r="AI159" s="1"/>
    </row>
    <row r="160" spans="1:35" s="109" customFormat="1">
      <c r="A160" s="240" t="s">
        <v>854</v>
      </c>
      <c r="B160" s="255" t="s">
        <v>143</v>
      </c>
      <c r="C160" s="102" t="s">
        <v>43</v>
      </c>
      <c r="D160" s="406" t="s">
        <v>883</v>
      </c>
      <c r="E160" s="256" t="s">
        <v>883</v>
      </c>
      <c r="F160" s="256" t="s">
        <v>1094</v>
      </c>
      <c r="G160" s="404" t="s">
        <v>1094</v>
      </c>
      <c r="H160" s="404" t="s">
        <v>1094</v>
      </c>
      <c r="I160" s="404" t="s">
        <v>1094</v>
      </c>
      <c r="J160" s="404" t="s">
        <v>1094</v>
      </c>
      <c r="K160" s="248">
        <v>3.1250000000000001E-4</v>
      </c>
      <c r="L160" s="405" t="s">
        <v>1094</v>
      </c>
      <c r="M160" s="405" t="s">
        <v>1094</v>
      </c>
      <c r="N160" s="405" t="s">
        <v>1094</v>
      </c>
      <c r="O160" s="405" t="s">
        <v>1094</v>
      </c>
      <c r="P160" s="405" t="s">
        <v>1094</v>
      </c>
      <c r="Q160" s="405" t="s">
        <v>1094</v>
      </c>
      <c r="R160" s="405" t="s">
        <v>1094</v>
      </c>
      <c r="S160" s="405" t="s">
        <v>1094</v>
      </c>
      <c r="T160" s="405" t="s">
        <v>1094</v>
      </c>
      <c r="U160" s="405" t="s">
        <v>1094</v>
      </c>
      <c r="V160" s="348"/>
      <c r="W160" s="480"/>
      <c r="X160" s="480"/>
      <c r="Y160" s="93"/>
      <c r="Z160" s="348"/>
      <c r="AA160" s="481"/>
      <c r="AB160" s="348"/>
      <c r="AC160" s="348"/>
      <c r="AD160" s="348"/>
      <c r="AE160" s="348"/>
      <c r="AF160" s="392"/>
      <c r="AG160" s="348"/>
      <c r="AH160" s="348"/>
      <c r="AI160" s="1"/>
    </row>
    <row r="161" spans="1:35" s="109" customFormat="1">
      <c r="A161" s="506" t="s">
        <v>854</v>
      </c>
      <c r="B161" s="507" t="s">
        <v>11228</v>
      </c>
      <c r="C161" s="508" t="s">
        <v>1737</v>
      </c>
      <c r="D161" s="524" t="s">
        <v>883</v>
      </c>
      <c r="E161" s="524" t="s">
        <v>883</v>
      </c>
      <c r="F161" s="524" t="s">
        <v>1094</v>
      </c>
      <c r="G161" s="525" t="s">
        <v>1094</v>
      </c>
      <c r="H161" s="525" t="s">
        <v>1094</v>
      </c>
      <c r="I161" s="525" t="s">
        <v>1094</v>
      </c>
      <c r="J161" s="525" t="s">
        <v>883</v>
      </c>
      <c r="K161" s="248">
        <v>1.25E-3</v>
      </c>
      <c r="L161" s="511" t="s">
        <v>883</v>
      </c>
      <c r="M161" s="511" t="s">
        <v>883</v>
      </c>
      <c r="N161" s="511" t="s">
        <v>1094</v>
      </c>
      <c r="O161" s="511" t="s">
        <v>883</v>
      </c>
      <c r="P161" s="511" t="s">
        <v>1094</v>
      </c>
      <c r="Q161" s="511" t="s">
        <v>883</v>
      </c>
      <c r="R161" s="511" t="s">
        <v>883</v>
      </c>
      <c r="S161" s="511" t="s">
        <v>883</v>
      </c>
      <c r="T161" s="511" t="s">
        <v>883</v>
      </c>
      <c r="U161" s="511" t="s">
        <v>883</v>
      </c>
      <c r="V161" s="348"/>
      <c r="W161" s="480"/>
      <c r="X161" s="480"/>
      <c r="Y161" s="93"/>
      <c r="Z161" s="348"/>
      <c r="AA161" s="481"/>
      <c r="AB161" s="348"/>
      <c r="AC161" s="348"/>
      <c r="AD161" s="348"/>
      <c r="AE161" s="348"/>
      <c r="AF161" s="392"/>
      <c r="AG161" s="348"/>
      <c r="AH161" s="348"/>
      <c r="AI161" s="1"/>
    </row>
    <row r="162" spans="1:35" s="109" customFormat="1">
      <c r="A162" s="240" t="s">
        <v>854</v>
      </c>
      <c r="B162" s="255" t="s">
        <v>159</v>
      </c>
      <c r="C162" s="102" t="s">
        <v>57</v>
      </c>
      <c r="D162" s="406" t="s">
        <v>883</v>
      </c>
      <c r="E162" s="256" t="s">
        <v>1094</v>
      </c>
      <c r="F162" s="256" t="s">
        <v>1094</v>
      </c>
      <c r="G162" s="404" t="s">
        <v>1094</v>
      </c>
      <c r="H162" s="404" t="s">
        <v>1094</v>
      </c>
      <c r="I162" s="404" t="s">
        <v>1094</v>
      </c>
      <c r="J162" s="404" t="s">
        <v>1094</v>
      </c>
      <c r="K162" s="248">
        <v>1.3392857142857144E-4</v>
      </c>
      <c r="L162" s="405" t="s">
        <v>1094</v>
      </c>
      <c r="M162" s="405" t="s">
        <v>1094</v>
      </c>
      <c r="N162" s="405" t="s">
        <v>1094</v>
      </c>
      <c r="O162" s="405" t="s">
        <v>1094</v>
      </c>
      <c r="P162" s="405" t="s">
        <v>1094</v>
      </c>
      <c r="Q162" s="405" t="s">
        <v>1094</v>
      </c>
      <c r="R162" s="405" t="s">
        <v>1094</v>
      </c>
      <c r="S162" s="405" t="s">
        <v>1094</v>
      </c>
      <c r="T162" s="405" t="s">
        <v>1094</v>
      </c>
      <c r="U162" s="405" t="s">
        <v>1094</v>
      </c>
      <c r="V162" s="348"/>
      <c r="W162" s="480"/>
      <c r="X162" s="480"/>
      <c r="Y162" s="93"/>
      <c r="Z162" s="348"/>
      <c r="AA162" s="481"/>
      <c r="AB162" s="348"/>
      <c r="AC162" s="348"/>
      <c r="AD162" s="348"/>
      <c r="AE162" s="348"/>
      <c r="AF162" s="392"/>
      <c r="AG162" s="348"/>
      <c r="AH162" s="348"/>
      <c r="AI162" s="1"/>
    </row>
    <row r="163" spans="1:35" s="109" customFormat="1">
      <c r="A163" s="240" t="s">
        <v>854</v>
      </c>
      <c r="B163" s="247" t="s">
        <v>160</v>
      </c>
      <c r="C163" s="102" t="s">
        <v>59</v>
      </c>
      <c r="D163" s="406" t="s">
        <v>883</v>
      </c>
      <c r="E163" s="406" t="s">
        <v>1094</v>
      </c>
      <c r="F163" s="406" t="s">
        <v>883</v>
      </c>
      <c r="G163" s="404" t="s">
        <v>883</v>
      </c>
      <c r="H163" s="404" t="s">
        <v>1094</v>
      </c>
      <c r="I163" s="404" t="s">
        <v>883</v>
      </c>
      <c r="J163" s="404" t="s">
        <v>1094</v>
      </c>
      <c r="K163" s="248">
        <v>2.1052631578947368E-3</v>
      </c>
      <c r="L163" s="405" t="s">
        <v>1094</v>
      </c>
      <c r="M163" s="405" t="s">
        <v>1094</v>
      </c>
      <c r="N163" s="405" t="s">
        <v>1094</v>
      </c>
      <c r="O163" s="405" t="s">
        <v>1094</v>
      </c>
      <c r="P163" s="405" t="s">
        <v>1094</v>
      </c>
      <c r="Q163" s="405" t="s">
        <v>1094</v>
      </c>
      <c r="R163" s="405" t="s">
        <v>1094</v>
      </c>
      <c r="S163" s="405" t="s">
        <v>1094</v>
      </c>
      <c r="T163" s="405" t="s">
        <v>1094</v>
      </c>
      <c r="U163" s="405" t="s">
        <v>1094</v>
      </c>
      <c r="V163" s="348"/>
      <c r="W163" s="480"/>
      <c r="X163" s="480"/>
      <c r="Y163" s="93"/>
      <c r="Z163" s="348"/>
      <c r="AA163" s="481"/>
      <c r="AB163" s="348"/>
      <c r="AC163" s="348"/>
      <c r="AD163" s="348"/>
      <c r="AE163" s="348"/>
      <c r="AF163" s="392"/>
      <c r="AG163" s="348"/>
      <c r="AH163" s="348"/>
      <c r="AI163" s="1"/>
    </row>
    <row r="164" spans="1:35" s="109" customFormat="1">
      <c r="A164" s="240" t="s">
        <v>854</v>
      </c>
      <c r="B164" s="255" t="s">
        <v>179</v>
      </c>
      <c r="C164" s="102" t="s">
        <v>865</v>
      </c>
      <c r="D164" s="256" t="s">
        <v>1094</v>
      </c>
      <c r="E164" s="256" t="s">
        <v>1094</v>
      </c>
      <c r="F164" s="256" t="s">
        <v>883</v>
      </c>
      <c r="G164" s="404" t="s">
        <v>1094</v>
      </c>
      <c r="H164" s="404" t="s">
        <v>1094</v>
      </c>
      <c r="I164" s="404" t="s">
        <v>883</v>
      </c>
      <c r="J164" s="404" t="s">
        <v>883</v>
      </c>
      <c r="K164" s="248">
        <v>2.4038461538461538E-5</v>
      </c>
      <c r="L164" s="405" t="s">
        <v>1094</v>
      </c>
      <c r="M164" s="405" t="s">
        <v>1094</v>
      </c>
      <c r="N164" s="405" t="s">
        <v>1094</v>
      </c>
      <c r="O164" s="405" t="s">
        <v>1094</v>
      </c>
      <c r="P164" s="405" t="s">
        <v>1094</v>
      </c>
      <c r="Q164" s="405" t="s">
        <v>1094</v>
      </c>
      <c r="R164" s="405" t="s">
        <v>1094</v>
      </c>
      <c r="S164" s="405" t="s">
        <v>1094</v>
      </c>
      <c r="T164" s="405" t="s">
        <v>1094</v>
      </c>
      <c r="U164" s="405" t="s">
        <v>1094</v>
      </c>
      <c r="V164" s="348"/>
      <c r="W164" s="480"/>
      <c r="X164" s="480"/>
      <c r="Y164" s="93"/>
      <c r="Z164" s="348"/>
      <c r="AA164" s="481"/>
      <c r="AB164" s="348"/>
      <c r="AC164" s="348"/>
      <c r="AD164" s="348"/>
      <c r="AE164" s="348"/>
      <c r="AF164" s="392"/>
      <c r="AG164" s="348"/>
      <c r="AH164" s="348"/>
      <c r="AI164" s="1"/>
    </row>
    <row r="165" spans="1:35" s="109" customFormat="1">
      <c r="A165" s="240" t="s">
        <v>854</v>
      </c>
      <c r="B165" s="247" t="s">
        <v>194</v>
      </c>
      <c r="C165" s="102" t="s">
        <v>95</v>
      </c>
      <c r="D165" s="406" t="s">
        <v>883</v>
      </c>
      <c r="E165" s="406" t="s">
        <v>883</v>
      </c>
      <c r="F165" s="406" t="s">
        <v>1094</v>
      </c>
      <c r="G165" s="404" t="s">
        <v>1094</v>
      </c>
      <c r="H165" s="404" t="s">
        <v>883</v>
      </c>
      <c r="I165" s="404" t="s">
        <v>1094</v>
      </c>
      <c r="J165" s="404" t="s">
        <v>883</v>
      </c>
      <c r="K165" s="248">
        <v>5.3333333333333333E-5</v>
      </c>
      <c r="L165" s="405" t="s">
        <v>883</v>
      </c>
      <c r="M165" s="405" t="s">
        <v>1094</v>
      </c>
      <c r="N165" s="405" t="s">
        <v>1094</v>
      </c>
      <c r="O165" s="405" t="s">
        <v>883</v>
      </c>
      <c r="P165" s="405" t="s">
        <v>1094</v>
      </c>
      <c r="Q165" s="405" t="s">
        <v>883</v>
      </c>
      <c r="R165" s="405" t="s">
        <v>1094</v>
      </c>
      <c r="S165" s="405" t="s">
        <v>1094</v>
      </c>
      <c r="T165" s="405" t="s">
        <v>883</v>
      </c>
      <c r="U165" s="405" t="s">
        <v>883</v>
      </c>
      <c r="V165" s="348"/>
      <c r="W165" s="480"/>
      <c r="X165" s="480"/>
      <c r="Y165" s="93"/>
      <c r="Z165" s="348"/>
      <c r="AA165" s="481"/>
      <c r="AB165" s="348"/>
      <c r="AC165" s="348"/>
      <c r="AD165" s="348"/>
      <c r="AE165" s="348"/>
      <c r="AF165" s="392"/>
      <c r="AG165" s="348"/>
      <c r="AH165" s="348"/>
      <c r="AI165" s="1"/>
    </row>
    <row r="166" spans="1:35" s="109" customFormat="1">
      <c r="A166" s="506" t="s">
        <v>854</v>
      </c>
      <c r="B166" s="517" t="s">
        <v>11184</v>
      </c>
      <c r="C166" s="562" t="s">
        <v>11185</v>
      </c>
      <c r="D166" s="506" t="s">
        <v>883</v>
      </c>
      <c r="E166" s="506" t="s">
        <v>1094</v>
      </c>
      <c r="F166" s="506" t="s">
        <v>1094</v>
      </c>
      <c r="G166" s="506" t="s">
        <v>883</v>
      </c>
      <c r="H166" s="506" t="s">
        <v>883</v>
      </c>
      <c r="I166" s="506" t="s">
        <v>883</v>
      </c>
      <c r="J166" s="506" t="s">
        <v>1094</v>
      </c>
      <c r="K166" s="511">
        <v>5.6603773584905656E-3</v>
      </c>
      <c r="L166" s="506" t="s">
        <v>883</v>
      </c>
      <c r="M166" s="506" t="s">
        <v>883</v>
      </c>
      <c r="N166" s="506" t="s">
        <v>1094</v>
      </c>
      <c r="O166" s="506" t="s">
        <v>883</v>
      </c>
      <c r="P166" s="506" t="s">
        <v>1094</v>
      </c>
      <c r="Q166" s="506" t="s">
        <v>883</v>
      </c>
      <c r="R166" s="506" t="s">
        <v>883</v>
      </c>
      <c r="S166" s="506" t="s">
        <v>1094</v>
      </c>
      <c r="T166" s="506" t="s">
        <v>883</v>
      </c>
      <c r="U166" s="506" t="s">
        <v>883</v>
      </c>
      <c r="V166" s="348"/>
      <c r="W166" s="480"/>
      <c r="X166" s="480"/>
      <c r="Y166" s="93"/>
      <c r="Z166" s="348"/>
      <c r="AA166" s="481"/>
      <c r="AB166" s="348"/>
      <c r="AC166" s="348"/>
      <c r="AD166" s="348"/>
      <c r="AE166" s="348"/>
      <c r="AF166" s="392"/>
      <c r="AG166" s="348"/>
      <c r="AH166" s="348"/>
      <c r="AI166" s="1"/>
    </row>
    <row r="167" spans="1:35" s="109" customFormat="1">
      <c r="A167" s="242" t="s">
        <v>854</v>
      </c>
      <c r="B167" s="247" t="s">
        <v>168</v>
      </c>
      <c r="C167" s="102" t="s">
        <v>68</v>
      </c>
      <c r="D167" s="406" t="s">
        <v>883</v>
      </c>
      <c r="E167" s="406" t="s">
        <v>883</v>
      </c>
      <c r="F167" s="406" t="s">
        <v>1094</v>
      </c>
      <c r="G167" s="404" t="s">
        <v>883</v>
      </c>
      <c r="H167" s="404" t="s">
        <v>883</v>
      </c>
      <c r="I167" s="404" t="s">
        <v>1094</v>
      </c>
      <c r="J167" s="404" t="s">
        <v>1094</v>
      </c>
      <c r="K167" s="248">
        <v>2.8571428571428571E-3</v>
      </c>
      <c r="L167" s="405" t="s">
        <v>883</v>
      </c>
      <c r="M167" s="405" t="s">
        <v>1094</v>
      </c>
      <c r="N167" s="405" t="s">
        <v>1094</v>
      </c>
      <c r="O167" s="405" t="s">
        <v>883</v>
      </c>
      <c r="P167" s="405" t="s">
        <v>883</v>
      </c>
      <c r="Q167" s="405" t="s">
        <v>883</v>
      </c>
      <c r="R167" s="405" t="s">
        <v>1094</v>
      </c>
      <c r="S167" s="405" t="s">
        <v>1094</v>
      </c>
      <c r="T167" s="405" t="s">
        <v>883</v>
      </c>
      <c r="U167" s="405" t="s">
        <v>883</v>
      </c>
      <c r="V167" s="348"/>
      <c r="W167" s="480"/>
      <c r="X167" s="480"/>
      <c r="Y167" s="93"/>
      <c r="Z167" s="348"/>
      <c r="AA167" s="481"/>
      <c r="AB167" s="348"/>
      <c r="AC167" s="348"/>
      <c r="AD167" s="348"/>
      <c r="AE167" s="348"/>
      <c r="AF167" s="392"/>
      <c r="AG167" s="348"/>
      <c r="AH167" s="348"/>
      <c r="AI167" s="1"/>
    </row>
    <row r="168" spans="1:35" s="109" customFormat="1">
      <c r="A168" s="506" t="s">
        <v>854</v>
      </c>
      <c r="B168" s="517" t="s">
        <v>11182</v>
      </c>
      <c r="C168" s="562" t="s">
        <v>1794</v>
      </c>
      <c r="D168" s="506" t="s">
        <v>883</v>
      </c>
      <c r="E168" s="506" t="s">
        <v>1094</v>
      </c>
      <c r="F168" s="506" t="s">
        <v>1094</v>
      </c>
      <c r="G168" s="506" t="s">
        <v>1094</v>
      </c>
      <c r="H168" s="506" t="s">
        <v>1094</v>
      </c>
      <c r="I168" s="506" t="s">
        <v>883</v>
      </c>
      <c r="J168" s="506" t="s">
        <v>883</v>
      </c>
      <c r="K168" s="511">
        <v>8.1081081081081077E-4</v>
      </c>
      <c r="L168" s="506" t="s">
        <v>883</v>
      </c>
      <c r="M168" s="506" t="s">
        <v>1094</v>
      </c>
      <c r="N168" s="506" t="s">
        <v>883</v>
      </c>
      <c r="O168" s="506" t="s">
        <v>1094</v>
      </c>
      <c r="P168" s="506" t="s">
        <v>883</v>
      </c>
      <c r="Q168" s="506" t="s">
        <v>1094</v>
      </c>
      <c r="R168" s="506" t="s">
        <v>1094</v>
      </c>
      <c r="S168" s="506" t="s">
        <v>883</v>
      </c>
      <c r="T168" s="506" t="s">
        <v>1094</v>
      </c>
      <c r="U168" s="506" t="s">
        <v>1094</v>
      </c>
      <c r="V168" s="348"/>
      <c r="W168" s="480"/>
      <c r="X168" s="480"/>
      <c r="Y168" s="93"/>
      <c r="Z168" s="348"/>
      <c r="AA168" s="481"/>
      <c r="AB168" s="348"/>
      <c r="AC168" s="348"/>
      <c r="AD168" s="348"/>
      <c r="AE168" s="348"/>
      <c r="AF168" s="392"/>
      <c r="AG168" s="348"/>
      <c r="AH168" s="348"/>
      <c r="AI168" s="1"/>
    </row>
    <row r="169" spans="1:35" s="109" customFormat="1">
      <c r="A169" s="240" t="s">
        <v>854</v>
      </c>
      <c r="B169" s="255" t="s">
        <v>195</v>
      </c>
      <c r="C169" s="102" t="s">
        <v>97</v>
      </c>
      <c r="D169" s="406" t="s">
        <v>883</v>
      </c>
      <c r="E169" s="256" t="s">
        <v>883</v>
      </c>
      <c r="F169" s="256" t="s">
        <v>1094</v>
      </c>
      <c r="G169" s="404" t="s">
        <v>1094</v>
      </c>
      <c r="H169" s="404" t="s">
        <v>1094</v>
      </c>
      <c r="I169" s="404" t="s">
        <v>1094</v>
      </c>
      <c r="J169" s="404" t="s">
        <v>1094</v>
      </c>
      <c r="K169" s="248">
        <v>9.3749999999999992E-6</v>
      </c>
      <c r="L169" s="405" t="s">
        <v>883</v>
      </c>
      <c r="M169" s="405" t="s">
        <v>1094</v>
      </c>
      <c r="N169" s="405" t="s">
        <v>1094</v>
      </c>
      <c r="O169" s="405" t="s">
        <v>883</v>
      </c>
      <c r="P169" s="405" t="s">
        <v>1094</v>
      </c>
      <c r="Q169" s="405" t="s">
        <v>883</v>
      </c>
      <c r="R169" s="405" t="s">
        <v>883</v>
      </c>
      <c r="S169" s="405" t="s">
        <v>1094</v>
      </c>
      <c r="T169" s="405" t="s">
        <v>883</v>
      </c>
      <c r="U169" s="405" t="s">
        <v>883</v>
      </c>
      <c r="V169" s="348"/>
      <c r="W169" s="480"/>
      <c r="X169" s="480"/>
      <c r="Y169" s="93"/>
      <c r="Z169" s="348"/>
      <c r="AA169" s="481"/>
      <c r="AB169" s="348"/>
      <c r="AC169" s="348"/>
      <c r="AD169" s="348"/>
      <c r="AE169" s="348"/>
      <c r="AF169" s="392"/>
      <c r="AG169" s="348"/>
      <c r="AH169" s="348"/>
      <c r="AI169" s="1"/>
    </row>
    <row r="170" spans="1:35" s="109" customFormat="1">
      <c r="A170" s="240" t="s">
        <v>854</v>
      </c>
      <c r="B170" s="255" t="s">
        <v>178</v>
      </c>
      <c r="C170" s="102" t="s">
        <v>81</v>
      </c>
      <c r="D170" s="406" t="s">
        <v>883</v>
      </c>
      <c r="E170" s="256" t="s">
        <v>883</v>
      </c>
      <c r="F170" s="256" t="s">
        <v>1094</v>
      </c>
      <c r="G170" s="404" t="s">
        <v>1094</v>
      </c>
      <c r="H170" s="404" t="s">
        <v>1094</v>
      </c>
      <c r="I170" s="404" t="s">
        <v>1094</v>
      </c>
      <c r="J170" s="404" t="s">
        <v>883</v>
      </c>
      <c r="K170" s="248">
        <v>5.8823529411764701E-4</v>
      </c>
      <c r="L170" s="405" t="s">
        <v>883</v>
      </c>
      <c r="M170" s="405" t="s">
        <v>1094</v>
      </c>
      <c r="N170" s="405" t="s">
        <v>1094</v>
      </c>
      <c r="O170" s="405" t="s">
        <v>1094</v>
      </c>
      <c r="P170" s="405" t="s">
        <v>1094</v>
      </c>
      <c r="Q170" s="405" t="s">
        <v>883</v>
      </c>
      <c r="R170" s="405" t="s">
        <v>1094</v>
      </c>
      <c r="S170" s="405" t="s">
        <v>1094</v>
      </c>
      <c r="T170" s="405" t="s">
        <v>883</v>
      </c>
      <c r="U170" s="405" t="s">
        <v>883</v>
      </c>
      <c r="V170" s="348"/>
      <c r="W170" s="480"/>
      <c r="X170" s="480"/>
      <c r="Y170" s="93"/>
      <c r="Z170" s="348"/>
      <c r="AA170" s="481"/>
      <c r="AB170" s="348"/>
      <c r="AC170" s="348"/>
      <c r="AD170" s="348"/>
      <c r="AE170" s="348"/>
      <c r="AF170" s="392"/>
      <c r="AG170" s="348"/>
      <c r="AH170" s="348"/>
      <c r="AI170" s="1"/>
    </row>
    <row r="171" spans="1:35" s="109" customFormat="1">
      <c r="A171" s="240" t="s">
        <v>854</v>
      </c>
      <c r="B171" s="255" t="s">
        <v>212</v>
      </c>
      <c r="C171" s="102" t="s">
        <v>113</v>
      </c>
      <c r="D171" s="406" t="s">
        <v>883</v>
      </c>
      <c r="E171" s="406" t="s">
        <v>883</v>
      </c>
      <c r="F171" s="256" t="s">
        <v>1094</v>
      </c>
      <c r="G171" s="404" t="s">
        <v>883</v>
      </c>
      <c r="H171" s="404" t="s">
        <v>883</v>
      </c>
      <c r="I171" s="404" t="s">
        <v>1094</v>
      </c>
      <c r="J171" s="404" t="s">
        <v>883</v>
      </c>
      <c r="K171" s="248">
        <v>1.171875E-3</v>
      </c>
      <c r="L171" s="405" t="s">
        <v>883</v>
      </c>
      <c r="M171" s="405" t="s">
        <v>1094</v>
      </c>
      <c r="N171" s="405" t="s">
        <v>883</v>
      </c>
      <c r="O171" s="405" t="s">
        <v>1094</v>
      </c>
      <c r="P171" s="405" t="s">
        <v>883</v>
      </c>
      <c r="Q171" s="405" t="s">
        <v>1094</v>
      </c>
      <c r="R171" s="405" t="s">
        <v>1094</v>
      </c>
      <c r="S171" s="405" t="s">
        <v>883</v>
      </c>
      <c r="T171" s="405" t="s">
        <v>1094</v>
      </c>
      <c r="U171" s="405" t="s">
        <v>1094</v>
      </c>
      <c r="V171" s="348"/>
      <c r="W171" s="480"/>
      <c r="X171" s="480"/>
      <c r="Y171" s="93"/>
      <c r="Z171" s="348"/>
      <c r="AA171" s="481"/>
      <c r="AB171" s="348"/>
      <c r="AC171" s="348"/>
      <c r="AD171" s="348"/>
      <c r="AE171" s="348"/>
      <c r="AF171" s="392"/>
      <c r="AG171" s="348"/>
      <c r="AH171" s="348"/>
      <c r="AI171" s="1"/>
    </row>
    <row r="172" spans="1:35" s="109" customFormat="1">
      <c r="A172" s="506" t="s">
        <v>854</v>
      </c>
      <c r="B172" s="577" t="s">
        <v>11302</v>
      </c>
      <c r="C172" s="576" t="s">
        <v>11188</v>
      </c>
      <c r="D172" s="506" t="s">
        <v>883</v>
      </c>
      <c r="E172" s="506" t="s">
        <v>883</v>
      </c>
      <c r="F172" s="506" t="s">
        <v>1094</v>
      </c>
      <c r="G172" s="506" t="s">
        <v>1094</v>
      </c>
      <c r="H172" s="506" t="s">
        <v>883</v>
      </c>
      <c r="I172" s="506" t="s">
        <v>1094</v>
      </c>
      <c r="J172" s="506" t="s">
        <v>883</v>
      </c>
      <c r="K172" s="511">
        <v>1.5789473684210526E-3</v>
      </c>
      <c r="L172" s="506" t="s">
        <v>883</v>
      </c>
      <c r="M172" s="506" t="s">
        <v>883</v>
      </c>
      <c r="N172" s="506" t="s">
        <v>883</v>
      </c>
      <c r="O172" s="506" t="s">
        <v>1094</v>
      </c>
      <c r="P172" s="506" t="s">
        <v>883</v>
      </c>
      <c r="Q172" s="506" t="s">
        <v>1094</v>
      </c>
      <c r="R172" s="506" t="s">
        <v>883</v>
      </c>
      <c r="S172" s="506" t="s">
        <v>883</v>
      </c>
      <c r="T172" s="506" t="s">
        <v>883</v>
      </c>
      <c r="U172" s="506" t="s">
        <v>883</v>
      </c>
      <c r="V172" s="348"/>
      <c r="W172" s="480"/>
      <c r="X172" s="480"/>
      <c r="Y172" s="93"/>
      <c r="Z172" s="348"/>
      <c r="AA172" s="481"/>
      <c r="AB172" s="348"/>
      <c r="AC172" s="348"/>
      <c r="AD172" s="348"/>
      <c r="AE172" s="348"/>
      <c r="AF172" s="392"/>
      <c r="AG172" s="348"/>
      <c r="AH172" s="348"/>
      <c r="AI172" s="1"/>
    </row>
    <row r="173" spans="1:35" s="109" customFormat="1">
      <c r="A173" s="242" t="s">
        <v>854</v>
      </c>
      <c r="B173" s="255" t="s">
        <v>135</v>
      </c>
      <c r="C173" s="102" t="s">
        <v>33</v>
      </c>
      <c r="D173" s="406" t="s">
        <v>883</v>
      </c>
      <c r="E173" s="406" t="s">
        <v>1094</v>
      </c>
      <c r="F173" s="256" t="s">
        <v>1094</v>
      </c>
      <c r="G173" s="404" t="s">
        <v>1094</v>
      </c>
      <c r="H173" s="404" t="s">
        <v>1094</v>
      </c>
      <c r="I173" s="404" t="s">
        <v>1094</v>
      </c>
      <c r="J173" s="404" t="s">
        <v>1094</v>
      </c>
      <c r="K173" s="248">
        <v>5.1724137931034484E-4</v>
      </c>
      <c r="L173" s="405" t="s">
        <v>883</v>
      </c>
      <c r="M173" s="405" t="s">
        <v>1094</v>
      </c>
      <c r="N173" s="405" t="s">
        <v>883</v>
      </c>
      <c r="O173" s="405" t="s">
        <v>883</v>
      </c>
      <c r="P173" s="405" t="s">
        <v>883</v>
      </c>
      <c r="Q173" s="405" t="s">
        <v>1094</v>
      </c>
      <c r="R173" s="405" t="s">
        <v>1094</v>
      </c>
      <c r="S173" s="405" t="s">
        <v>1094</v>
      </c>
      <c r="T173" s="405" t="s">
        <v>1094</v>
      </c>
      <c r="U173" s="405" t="s">
        <v>883</v>
      </c>
      <c r="V173" s="348"/>
      <c r="W173" s="480"/>
      <c r="X173" s="480"/>
      <c r="Y173" s="93"/>
      <c r="Z173" s="348"/>
      <c r="AA173" s="481"/>
      <c r="AB173" s="348"/>
      <c r="AC173" s="348"/>
      <c r="AD173" s="348"/>
      <c r="AE173" s="348"/>
      <c r="AF173" s="392"/>
      <c r="AG173" s="348"/>
      <c r="AH173" s="348"/>
      <c r="AI173" s="1"/>
    </row>
    <row r="174" spans="1:35" s="109" customFormat="1">
      <c r="A174" s="240" t="s">
        <v>854</v>
      </c>
      <c r="B174" s="255" t="s">
        <v>162</v>
      </c>
      <c r="C174" s="102" t="s">
        <v>62</v>
      </c>
      <c r="D174" s="406" t="s">
        <v>883</v>
      </c>
      <c r="E174" s="406" t="s">
        <v>883</v>
      </c>
      <c r="F174" s="256" t="s">
        <v>1094</v>
      </c>
      <c r="G174" s="404" t="s">
        <v>1094</v>
      </c>
      <c r="H174" s="404" t="s">
        <v>883</v>
      </c>
      <c r="I174" s="404" t="s">
        <v>1094</v>
      </c>
      <c r="J174" s="404" t="s">
        <v>883</v>
      </c>
      <c r="K174" s="248">
        <v>3.8461538461538462E-4</v>
      </c>
      <c r="L174" s="405" t="s">
        <v>883</v>
      </c>
      <c r="M174" s="405" t="s">
        <v>1094</v>
      </c>
      <c r="N174" s="405" t="s">
        <v>883</v>
      </c>
      <c r="O174" s="405" t="s">
        <v>883</v>
      </c>
      <c r="P174" s="405" t="s">
        <v>1094</v>
      </c>
      <c r="Q174" s="405" t="s">
        <v>883</v>
      </c>
      <c r="R174" s="405" t="s">
        <v>883</v>
      </c>
      <c r="S174" s="405" t="s">
        <v>883</v>
      </c>
      <c r="T174" s="405" t="s">
        <v>883</v>
      </c>
      <c r="U174" s="405" t="s">
        <v>883</v>
      </c>
      <c r="V174" s="348"/>
      <c r="W174" s="480"/>
      <c r="X174" s="480"/>
      <c r="Y174" s="93"/>
      <c r="Z174" s="348"/>
      <c r="AA174" s="481"/>
      <c r="AB174" s="348"/>
      <c r="AC174" s="348"/>
      <c r="AD174" s="348"/>
      <c r="AE174" s="348"/>
      <c r="AF174" s="392"/>
      <c r="AG174" s="348"/>
      <c r="AH174" s="348"/>
      <c r="AI174" s="1"/>
    </row>
    <row r="175" spans="1:35" s="109" customFormat="1">
      <c r="A175" s="240" t="s">
        <v>854</v>
      </c>
      <c r="B175" s="255" t="s">
        <v>279</v>
      </c>
      <c r="C175" s="102" t="s">
        <v>96</v>
      </c>
      <c r="D175" s="406" t="s">
        <v>883</v>
      </c>
      <c r="E175" s="256" t="s">
        <v>1094</v>
      </c>
      <c r="F175" s="256" t="s">
        <v>1094</v>
      </c>
      <c r="G175" s="404" t="s">
        <v>1094</v>
      </c>
      <c r="H175" s="404" t="s">
        <v>883</v>
      </c>
      <c r="I175" s="404" t="s">
        <v>1094</v>
      </c>
      <c r="J175" s="404" t="s">
        <v>883</v>
      </c>
      <c r="K175" s="248">
        <v>5.8593750000000001E-6</v>
      </c>
      <c r="L175" s="405" t="s">
        <v>1094</v>
      </c>
      <c r="M175" s="405" t="s">
        <v>1094</v>
      </c>
      <c r="N175" s="405" t="s">
        <v>1094</v>
      </c>
      <c r="O175" s="405" t="s">
        <v>1094</v>
      </c>
      <c r="P175" s="405" t="s">
        <v>1094</v>
      </c>
      <c r="Q175" s="405" t="s">
        <v>1094</v>
      </c>
      <c r="R175" s="405" t="s">
        <v>1094</v>
      </c>
      <c r="S175" s="405" t="s">
        <v>1094</v>
      </c>
      <c r="T175" s="405" t="s">
        <v>1094</v>
      </c>
      <c r="U175" s="405" t="s">
        <v>1094</v>
      </c>
      <c r="V175" s="348"/>
      <c r="W175" s="480"/>
      <c r="X175" s="480"/>
      <c r="Y175" s="93"/>
      <c r="Z175" s="348"/>
      <c r="AA175" s="481"/>
      <c r="AB175" s="348"/>
      <c r="AC175" s="348"/>
      <c r="AD175" s="348"/>
      <c r="AE175" s="348"/>
      <c r="AF175" s="392"/>
      <c r="AG175" s="348"/>
      <c r="AH175" s="348"/>
      <c r="AI175" s="1"/>
    </row>
    <row r="176" spans="1:35" s="109" customFormat="1">
      <c r="A176" s="240" t="s">
        <v>854</v>
      </c>
      <c r="B176" s="255" t="s">
        <v>180</v>
      </c>
      <c r="C176" s="102" t="s">
        <v>82</v>
      </c>
      <c r="D176" s="406" t="s">
        <v>1094</v>
      </c>
      <c r="E176" s="256" t="s">
        <v>1094</v>
      </c>
      <c r="F176" s="256" t="s">
        <v>883</v>
      </c>
      <c r="G176" s="404" t="s">
        <v>883</v>
      </c>
      <c r="H176" s="404" t="s">
        <v>1094</v>
      </c>
      <c r="I176" s="404" t="s">
        <v>883</v>
      </c>
      <c r="J176" s="404" t="s">
        <v>1094</v>
      </c>
      <c r="K176" s="248">
        <v>2.4671052631578948E-4</v>
      </c>
      <c r="L176" s="405" t="s">
        <v>1094</v>
      </c>
      <c r="M176" s="405" t="s">
        <v>1094</v>
      </c>
      <c r="N176" s="405" t="s">
        <v>1094</v>
      </c>
      <c r="O176" s="405" t="s">
        <v>1094</v>
      </c>
      <c r="P176" s="405" t="s">
        <v>1094</v>
      </c>
      <c r="Q176" s="405" t="s">
        <v>1094</v>
      </c>
      <c r="R176" s="405" t="s">
        <v>1094</v>
      </c>
      <c r="S176" s="405" t="s">
        <v>1094</v>
      </c>
      <c r="T176" s="405" t="s">
        <v>1094</v>
      </c>
      <c r="U176" s="405" t="s">
        <v>1094</v>
      </c>
      <c r="V176" s="348"/>
      <c r="W176" s="480"/>
      <c r="X176" s="480"/>
      <c r="Y176" s="93"/>
      <c r="Z176" s="348"/>
      <c r="AA176" s="481"/>
      <c r="AB176" s="348"/>
      <c r="AC176" s="348"/>
      <c r="AD176" s="348"/>
      <c r="AE176" s="348"/>
      <c r="AF176" s="392"/>
      <c r="AG176" s="348"/>
      <c r="AH176" s="348"/>
      <c r="AI176" s="1"/>
    </row>
    <row r="177" spans="1:35" s="109" customFormat="1">
      <c r="A177" s="240" t="s">
        <v>854</v>
      </c>
      <c r="B177" s="255" t="s">
        <v>222</v>
      </c>
      <c r="C177" s="102" t="s">
        <v>866</v>
      </c>
      <c r="D177" s="406" t="s">
        <v>883</v>
      </c>
      <c r="E177" s="256" t="s">
        <v>1094</v>
      </c>
      <c r="F177" s="256" t="s">
        <v>1094</v>
      </c>
      <c r="G177" s="404" t="s">
        <v>1094</v>
      </c>
      <c r="H177" s="404" t="s">
        <v>1094</v>
      </c>
      <c r="I177" s="404" t="s">
        <v>1094</v>
      </c>
      <c r="J177" s="404" t="s">
        <v>883</v>
      </c>
      <c r="K177" s="248">
        <v>3.3783783783783786E-3</v>
      </c>
      <c r="L177" s="405" t="s">
        <v>883</v>
      </c>
      <c r="M177" s="405" t="s">
        <v>1094</v>
      </c>
      <c r="N177" s="405" t="s">
        <v>883</v>
      </c>
      <c r="O177" s="405" t="s">
        <v>883</v>
      </c>
      <c r="P177" s="405" t="s">
        <v>883</v>
      </c>
      <c r="Q177" s="405" t="s">
        <v>883</v>
      </c>
      <c r="R177" s="405" t="s">
        <v>1094</v>
      </c>
      <c r="S177" s="405" t="s">
        <v>1094</v>
      </c>
      <c r="T177" s="405" t="s">
        <v>1094</v>
      </c>
      <c r="U177" s="405" t="s">
        <v>883</v>
      </c>
      <c r="V177" s="348"/>
      <c r="W177" s="480"/>
      <c r="X177" s="480"/>
      <c r="Y177" s="93"/>
      <c r="Z177" s="348"/>
      <c r="AA177" s="481"/>
      <c r="AB177" s="348"/>
      <c r="AC177" s="348"/>
      <c r="AD177" s="348"/>
      <c r="AE177" s="348"/>
      <c r="AF177" s="392"/>
      <c r="AG177" s="348"/>
      <c r="AH177" s="348"/>
      <c r="AI177" s="1"/>
    </row>
    <row r="178" spans="1:35" s="109" customFormat="1">
      <c r="A178" s="506" t="s">
        <v>854</v>
      </c>
      <c r="B178" s="507" t="s">
        <v>11173</v>
      </c>
      <c r="C178" s="508" t="s">
        <v>11174</v>
      </c>
      <c r="D178" s="524" t="s">
        <v>883</v>
      </c>
      <c r="E178" s="524" t="s">
        <v>1094</v>
      </c>
      <c r="F178" s="524" t="s">
        <v>883</v>
      </c>
      <c r="G178" s="525" t="s">
        <v>883</v>
      </c>
      <c r="H178" s="525" t="s">
        <v>1094</v>
      </c>
      <c r="I178" s="525" t="s">
        <v>1094</v>
      </c>
      <c r="J178" s="525" t="s">
        <v>883</v>
      </c>
      <c r="K178" s="511">
        <v>6.4000000000000003E-3</v>
      </c>
      <c r="L178" s="511" t="s">
        <v>1094</v>
      </c>
      <c r="M178" s="511" t="s">
        <v>1094</v>
      </c>
      <c r="N178" s="511" t="s">
        <v>1094</v>
      </c>
      <c r="O178" s="511" t="s">
        <v>1094</v>
      </c>
      <c r="P178" s="511" t="s">
        <v>1094</v>
      </c>
      <c r="Q178" s="511" t="s">
        <v>1094</v>
      </c>
      <c r="R178" s="511" t="s">
        <v>1094</v>
      </c>
      <c r="S178" s="511" t="s">
        <v>1094</v>
      </c>
      <c r="T178" s="511" t="s">
        <v>1094</v>
      </c>
      <c r="U178" s="511" t="s">
        <v>1094</v>
      </c>
      <c r="V178" s="348"/>
      <c r="W178" s="480"/>
      <c r="X178" s="480"/>
      <c r="Y178" s="93"/>
      <c r="Z178" s="348"/>
      <c r="AA178" s="481"/>
      <c r="AB178" s="348"/>
      <c r="AC178" s="348"/>
      <c r="AD178" s="348"/>
      <c r="AE178" s="348"/>
      <c r="AF178" s="392"/>
      <c r="AG178" s="348"/>
      <c r="AH178" s="348"/>
      <c r="AI178" s="1"/>
    </row>
    <row r="179" spans="1:35" s="109" customFormat="1">
      <c r="A179" s="506" t="s">
        <v>854</v>
      </c>
      <c r="B179" s="517" t="s">
        <v>11183</v>
      </c>
      <c r="C179" s="562" t="s">
        <v>2555</v>
      </c>
      <c r="D179" s="506" t="s">
        <v>883</v>
      </c>
      <c r="E179" s="506" t="s">
        <v>883</v>
      </c>
      <c r="F179" s="506" t="s">
        <v>1094</v>
      </c>
      <c r="G179" s="506" t="s">
        <v>1094</v>
      </c>
      <c r="H179" s="506" t="s">
        <v>1094</v>
      </c>
      <c r="I179" s="506" t="s">
        <v>1094</v>
      </c>
      <c r="J179" s="506" t="s">
        <v>883</v>
      </c>
      <c r="K179" s="511">
        <v>1.8181818181818182E-3</v>
      </c>
      <c r="L179" s="506" t="s">
        <v>883</v>
      </c>
      <c r="M179" s="506" t="s">
        <v>1094</v>
      </c>
      <c r="N179" s="506" t="s">
        <v>883</v>
      </c>
      <c r="O179" s="506" t="s">
        <v>883</v>
      </c>
      <c r="P179" s="506" t="s">
        <v>883</v>
      </c>
      <c r="Q179" s="506" t="s">
        <v>883</v>
      </c>
      <c r="R179" s="506" t="s">
        <v>883</v>
      </c>
      <c r="S179" s="506" t="s">
        <v>1094</v>
      </c>
      <c r="T179" s="506" t="s">
        <v>883</v>
      </c>
      <c r="U179" s="506" t="s">
        <v>883</v>
      </c>
      <c r="V179" s="348"/>
      <c r="W179" s="480"/>
      <c r="X179" s="480"/>
      <c r="Y179" s="93"/>
      <c r="Z179" s="348"/>
      <c r="AA179" s="481"/>
      <c r="AB179" s="348"/>
      <c r="AC179" s="348"/>
      <c r="AD179" s="348"/>
      <c r="AE179" s="348"/>
      <c r="AF179" s="392"/>
      <c r="AG179" s="348"/>
      <c r="AH179" s="348"/>
      <c r="AI179" s="1"/>
    </row>
    <row r="180" spans="1:35" s="109" customFormat="1">
      <c r="A180" s="240" t="s">
        <v>854</v>
      </c>
      <c r="B180" s="255" t="s">
        <v>208</v>
      </c>
      <c r="C180" s="102" t="s">
        <v>110</v>
      </c>
      <c r="D180" s="406" t="s">
        <v>883</v>
      </c>
      <c r="E180" s="256" t="s">
        <v>1094</v>
      </c>
      <c r="F180" s="256" t="s">
        <v>1094</v>
      </c>
      <c r="G180" s="404" t="s">
        <v>1094</v>
      </c>
      <c r="H180" s="404" t="s">
        <v>1094</v>
      </c>
      <c r="I180" s="404" t="s">
        <v>1094</v>
      </c>
      <c r="J180" s="404" t="s">
        <v>883</v>
      </c>
      <c r="K180" s="248">
        <v>7.6923076923076919E-6</v>
      </c>
      <c r="L180" s="405" t="s">
        <v>1094</v>
      </c>
      <c r="M180" s="405" t="s">
        <v>1094</v>
      </c>
      <c r="N180" s="405" t="s">
        <v>1094</v>
      </c>
      <c r="O180" s="405" t="s">
        <v>1094</v>
      </c>
      <c r="P180" s="405" t="s">
        <v>1094</v>
      </c>
      <c r="Q180" s="405" t="s">
        <v>1094</v>
      </c>
      <c r="R180" s="405" t="s">
        <v>1094</v>
      </c>
      <c r="S180" s="405" t="s">
        <v>1094</v>
      </c>
      <c r="T180" s="405" t="s">
        <v>1094</v>
      </c>
      <c r="U180" s="405" t="s">
        <v>1094</v>
      </c>
      <c r="V180" s="348"/>
      <c r="W180" s="480"/>
      <c r="X180" s="480"/>
      <c r="Y180" s="93"/>
      <c r="Z180" s="348"/>
      <c r="AA180" s="481"/>
      <c r="AB180" s="348"/>
      <c r="AC180" s="348"/>
      <c r="AD180" s="348"/>
      <c r="AE180" s="348"/>
      <c r="AF180" s="392"/>
      <c r="AG180" s="348"/>
      <c r="AH180" s="348"/>
      <c r="AI180" s="1"/>
    </row>
    <row r="181" spans="1:35" s="109" customFormat="1">
      <c r="A181" s="240" t="s">
        <v>854</v>
      </c>
      <c r="B181" s="255" t="s">
        <v>188</v>
      </c>
      <c r="C181" s="102" t="s">
        <v>89</v>
      </c>
      <c r="D181" s="406" t="s">
        <v>883</v>
      </c>
      <c r="E181" s="256" t="s">
        <v>883</v>
      </c>
      <c r="F181" s="256" t="s">
        <v>1094</v>
      </c>
      <c r="G181" s="404" t="s">
        <v>1094</v>
      </c>
      <c r="H181" s="404" t="s">
        <v>1094</v>
      </c>
      <c r="I181" s="404" t="s">
        <v>1094</v>
      </c>
      <c r="J181" s="404" t="s">
        <v>1094</v>
      </c>
      <c r="K181" s="248">
        <v>1.7578124999999999E-4</v>
      </c>
      <c r="L181" s="405" t="s">
        <v>1094</v>
      </c>
      <c r="M181" s="405" t="s">
        <v>1094</v>
      </c>
      <c r="N181" s="405" t="s">
        <v>1094</v>
      </c>
      <c r="O181" s="405" t="s">
        <v>1094</v>
      </c>
      <c r="P181" s="405" t="s">
        <v>1094</v>
      </c>
      <c r="Q181" s="405" t="s">
        <v>1094</v>
      </c>
      <c r="R181" s="405" t="s">
        <v>1094</v>
      </c>
      <c r="S181" s="405" t="s">
        <v>1094</v>
      </c>
      <c r="T181" s="405" t="s">
        <v>1094</v>
      </c>
      <c r="U181" s="405" t="s">
        <v>1094</v>
      </c>
      <c r="V181" s="348"/>
      <c r="W181" s="480"/>
      <c r="X181" s="480"/>
      <c r="Y181" s="93"/>
      <c r="Z181" s="348"/>
      <c r="AA181" s="481"/>
      <c r="AB181" s="348"/>
      <c r="AC181" s="348"/>
      <c r="AD181" s="348"/>
      <c r="AE181" s="348"/>
      <c r="AF181" s="392"/>
      <c r="AG181" s="348"/>
      <c r="AH181" s="348"/>
      <c r="AI181" s="1"/>
    </row>
    <row r="182" spans="1:35" s="109" customFormat="1">
      <c r="A182" s="240" t="s">
        <v>854</v>
      </c>
      <c r="B182" s="255" t="s">
        <v>1070</v>
      </c>
      <c r="C182" s="102" t="s">
        <v>1069</v>
      </c>
      <c r="D182" s="406" t="s">
        <v>883</v>
      </c>
      <c r="E182" s="256" t="s">
        <v>1094</v>
      </c>
      <c r="F182" s="256" t="s">
        <v>1094</v>
      </c>
      <c r="G182" s="404" t="s">
        <v>1094</v>
      </c>
      <c r="H182" s="404" t="s">
        <v>1094</v>
      </c>
      <c r="I182" s="404" t="s">
        <v>1094</v>
      </c>
      <c r="J182" s="404" t="s">
        <v>1094</v>
      </c>
      <c r="K182" s="248">
        <v>7.4999999999999993E-5</v>
      </c>
      <c r="L182" s="405" t="s">
        <v>1094</v>
      </c>
      <c r="M182" s="405" t="s">
        <v>1094</v>
      </c>
      <c r="N182" s="405" t="s">
        <v>1094</v>
      </c>
      <c r="O182" s="405" t="s">
        <v>1094</v>
      </c>
      <c r="P182" s="405" t="s">
        <v>1094</v>
      </c>
      <c r="Q182" s="405" t="s">
        <v>1094</v>
      </c>
      <c r="R182" s="405" t="s">
        <v>1094</v>
      </c>
      <c r="S182" s="405" t="s">
        <v>1094</v>
      </c>
      <c r="T182" s="405" t="s">
        <v>1094</v>
      </c>
      <c r="U182" s="405" t="s">
        <v>1094</v>
      </c>
      <c r="V182" s="348"/>
      <c r="W182" s="480"/>
      <c r="X182" s="480"/>
      <c r="Y182" s="93"/>
      <c r="Z182" s="348"/>
      <c r="AA182" s="481"/>
      <c r="AB182" s="348"/>
      <c r="AC182" s="348"/>
      <c r="AD182" s="348"/>
      <c r="AE182" s="348"/>
      <c r="AF182" s="392"/>
      <c r="AG182" s="348"/>
      <c r="AH182" s="348"/>
      <c r="AI182" s="1"/>
    </row>
    <row r="183" spans="1:35" s="109" customFormat="1">
      <c r="A183" s="240" t="s">
        <v>854</v>
      </c>
      <c r="B183" s="255" t="s">
        <v>192</v>
      </c>
      <c r="C183" s="102" t="s">
        <v>93</v>
      </c>
      <c r="D183" s="408" t="s">
        <v>1094</v>
      </c>
      <c r="E183" s="408" t="s">
        <v>1094</v>
      </c>
      <c r="F183" s="408" t="s">
        <v>1094</v>
      </c>
      <c r="G183" s="409" t="s">
        <v>1094</v>
      </c>
      <c r="H183" s="409" t="s">
        <v>883</v>
      </c>
      <c r="I183" s="409" t="s">
        <v>1094</v>
      </c>
      <c r="J183" s="409" t="s">
        <v>883</v>
      </c>
      <c r="K183" s="248">
        <v>1.171875E-3</v>
      </c>
      <c r="L183" s="410" t="s">
        <v>1094</v>
      </c>
      <c r="M183" s="410" t="s">
        <v>1094</v>
      </c>
      <c r="N183" s="410" t="s">
        <v>1094</v>
      </c>
      <c r="O183" s="410" t="s">
        <v>1094</v>
      </c>
      <c r="P183" s="410" t="s">
        <v>1094</v>
      </c>
      <c r="Q183" s="410" t="s">
        <v>1094</v>
      </c>
      <c r="R183" s="410" t="s">
        <v>1094</v>
      </c>
      <c r="S183" s="410" t="s">
        <v>1094</v>
      </c>
      <c r="T183" s="410" t="s">
        <v>1094</v>
      </c>
      <c r="U183" s="410" t="s">
        <v>1094</v>
      </c>
      <c r="V183" s="348"/>
      <c r="W183" s="480"/>
      <c r="X183" s="480"/>
      <c r="Y183" s="93"/>
      <c r="Z183" s="348"/>
      <c r="AA183" s="481"/>
      <c r="AB183" s="348"/>
      <c r="AC183" s="348"/>
      <c r="AD183" s="348"/>
      <c r="AE183" s="348"/>
      <c r="AF183" s="392"/>
      <c r="AG183" s="348"/>
      <c r="AH183" s="348"/>
      <c r="AI183" s="1"/>
    </row>
    <row r="184" spans="1:35" s="109" customFormat="1">
      <c r="A184" s="240" t="s">
        <v>854</v>
      </c>
      <c r="B184" s="255" t="s">
        <v>280</v>
      </c>
      <c r="C184" s="102" t="s">
        <v>36</v>
      </c>
      <c r="D184" s="406" t="s">
        <v>883</v>
      </c>
      <c r="E184" s="256" t="s">
        <v>883</v>
      </c>
      <c r="F184" s="256" t="s">
        <v>1094</v>
      </c>
      <c r="G184" s="404" t="s">
        <v>1094</v>
      </c>
      <c r="H184" s="404" t="s">
        <v>1094</v>
      </c>
      <c r="I184" s="404" t="s">
        <v>1094</v>
      </c>
      <c r="J184" s="404" t="s">
        <v>883</v>
      </c>
      <c r="K184" s="248">
        <v>4.4117647058823531E-4</v>
      </c>
      <c r="L184" s="405" t="s">
        <v>883</v>
      </c>
      <c r="M184" s="405" t="s">
        <v>1094</v>
      </c>
      <c r="N184" s="405" t="s">
        <v>883</v>
      </c>
      <c r="O184" s="405" t="s">
        <v>883</v>
      </c>
      <c r="P184" s="405" t="s">
        <v>883</v>
      </c>
      <c r="Q184" s="405" t="s">
        <v>883</v>
      </c>
      <c r="R184" s="405" t="s">
        <v>1094</v>
      </c>
      <c r="S184" s="405" t="s">
        <v>1094</v>
      </c>
      <c r="T184" s="405" t="s">
        <v>883</v>
      </c>
      <c r="U184" s="405" t="s">
        <v>883</v>
      </c>
      <c r="V184" s="348"/>
      <c r="W184" s="480"/>
      <c r="X184" s="480"/>
      <c r="Y184" s="93"/>
      <c r="Z184" s="348"/>
      <c r="AA184" s="481"/>
      <c r="AB184" s="348"/>
      <c r="AC184" s="348"/>
      <c r="AD184" s="348"/>
      <c r="AE184" s="348"/>
      <c r="AF184" s="392"/>
      <c r="AG184" s="348"/>
      <c r="AH184" s="348"/>
      <c r="AI184" s="1"/>
    </row>
    <row r="185" spans="1:35" s="109" customFormat="1">
      <c r="A185" s="240" t="s">
        <v>854</v>
      </c>
      <c r="B185" s="255" t="s">
        <v>124</v>
      </c>
      <c r="C185" s="102" t="s">
        <v>20</v>
      </c>
      <c r="D185" s="256" t="s">
        <v>883</v>
      </c>
      <c r="E185" s="256" t="s">
        <v>1094</v>
      </c>
      <c r="F185" s="256" t="s">
        <v>1094</v>
      </c>
      <c r="G185" s="404" t="s">
        <v>1094</v>
      </c>
      <c r="H185" s="404" t="s">
        <v>1094</v>
      </c>
      <c r="I185" s="404" t="s">
        <v>1094</v>
      </c>
      <c r="J185" s="404" t="s">
        <v>1094</v>
      </c>
      <c r="K185" s="248">
        <v>2.8124999999999998E-4</v>
      </c>
      <c r="L185" s="405" t="s">
        <v>883</v>
      </c>
      <c r="M185" s="405" t="s">
        <v>1094</v>
      </c>
      <c r="N185" s="405" t="s">
        <v>1094</v>
      </c>
      <c r="O185" s="405" t="s">
        <v>1094</v>
      </c>
      <c r="P185" s="405" t="s">
        <v>883</v>
      </c>
      <c r="Q185" s="405" t="s">
        <v>1094</v>
      </c>
      <c r="R185" s="405" t="s">
        <v>1094</v>
      </c>
      <c r="S185" s="405" t="s">
        <v>1094</v>
      </c>
      <c r="T185" s="405" t="s">
        <v>1094</v>
      </c>
      <c r="U185" s="405" t="s">
        <v>1094</v>
      </c>
      <c r="V185" s="348"/>
      <c r="W185" s="480"/>
      <c r="X185" s="480"/>
      <c r="Y185" s="93"/>
      <c r="Z185" s="348"/>
      <c r="AA185" s="481"/>
      <c r="AB185" s="348"/>
      <c r="AC185" s="348"/>
      <c r="AD185" s="348"/>
      <c r="AE185" s="348"/>
      <c r="AF185" s="392"/>
      <c r="AG185" s="348"/>
      <c r="AH185" s="348"/>
      <c r="AI185" s="1"/>
    </row>
    <row r="186" spans="1:35" s="109" customFormat="1">
      <c r="A186" s="240" t="s">
        <v>854</v>
      </c>
      <c r="B186" s="255" t="s">
        <v>134</v>
      </c>
      <c r="C186" s="102" t="s">
        <v>32</v>
      </c>
      <c r="D186" s="406" t="s">
        <v>883</v>
      </c>
      <c r="E186" s="256" t="s">
        <v>1094</v>
      </c>
      <c r="F186" s="256" t="s">
        <v>1094</v>
      </c>
      <c r="G186" s="404" t="s">
        <v>883</v>
      </c>
      <c r="H186" s="404" t="s">
        <v>1094</v>
      </c>
      <c r="I186" s="404" t="s">
        <v>883</v>
      </c>
      <c r="J186" s="404" t="s">
        <v>1094</v>
      </c>
      <c r="K186" s="248">
        <v>8.1521739130434778E-4</v>
      </c>
      <c r="L186" s="405" t="s">
        <v>883</v>
      </c>
      <c r="M186" s="405" t="s">
        <v>1094</v>
      </c>
      <c r="N186" s="405" t="s">
        <v>1094</v>
      </c>
      <c r="O186" s="405" t="s">
        <v>883</v>
      </c>
      <c r="P186" s="405" t="s">
        <v>883</v>
      </c>
      <c r="Q186" s="405" t="s">
        <v>883</v>
      </c>
      <c r="R186" s="405" t="s">
        <v>883</v>
      </c>
      <c r="S186" s="405" t="s">
        <v>1094</v>
      </c>
      <c r="T186" s="405" t="s">
        <v>883</v>
      </c>
      <c r="U186" s="405" t="s">
        <v>883</v>
      </c>
      <c r="V186" s="348"/>
      <c r="W186" s="480"/>
      <c r="X186" s="480"/>
      <c r="Y186" s="93"/>
      <c r="Z186" s="348"/>
      <c r="AA186" s="481"/>
      <c r="AB186" s="348"/>
      <c r="AC186" s="348"/>
      <c r="AD186" s="348"/>
      <c r="AE186" s="348"/>
      <c r="AF186" s="392"/>
      <c r="AG186" s="348"/>
      <c r="AH186" s="348"/>
      <c r="AI186" s="1"/>
    </row>
    <row r="187" spans="1:35" s="109" customFormat="1">
      <c r="A187" s="240" t="s">
        <v>854</v>
      </c>
      <c r="B187" s="255" t="s">
        <v>142</v>
      </c>
      <c r="C187" s="102" t="s">
        <v>42</v>
      </c>
      <c r="D187" s="256" t="s">
        <v>1094</v>
      </c>
      <c r="E187" s="406" t="s">
        <v>883</v>
      </c>
      <c r="F187" s="406" t="s">
        <v>883</v>
      </c>
      <c r="G187" s="404" t="s">
        <v>883</v>
      </c>
      <c r="H187" s="404" t="s">
        <v>1094</v>
      </c>
      <c r="I187" s="404" t="s">
        <v>883</v>
      </c>
      <c r="J187" s="404" t="s">
        <v>1094</v>
      </c>
      <c r="K187" s="248">
        <v>1.0416666666666667E-3</v>
      </c>
      <c r="L187" s="405" t="s">
        <v>883</v>
      </c>
      <c r="M187" s="405" t="s">
        <v>1094</v>
      </c>
      <c r="N187" s="405" t="s">
        <v>883</v>
      </c>
      <c r="O187" s="405" t="s">
        <v>883</v>
      </c>
      <c r="P187" s="405" t="s">
        <v>883</v>
      </c>
      <c r="Q187" s="405" t="s">
        <v>883</v>
      </c>
      <c r="R187" s="405" t="s">
        <v>1094</v>
      </c>
      <c r="S187" s="405" t="s">
        <v>1094</v>
      </c>
      <c r="T187" s="405" t="s">
        <v>883</v>
      </c>
      <c r="U187" s="405" t="s">
        <v>883</v>
      </c>
      <c r="V187" s="348"/>
      <c r="W187" s="480"/>
      <c r="X187" s="480"/>
      <c r="Y187" s="93"/>
      <c r="Z187" s="348"/>
      <c r="AA187" s="481"/>
      <c r="AB187" s="348"/>
      <c r="AC187" s="348"/>
      <c r="AD187" s="348"/>
      <c r="AE187" s="348"/>
      <c r="AF187" s="392"/>
      <c r="AG187" s="348"/>
      <c r="AH187" s="348"/>
      <c r="AI187" s="1"/>
    </row>
    <row r="188" spans="1:35" s="109" customFormat="1">
      <c r="A188" s="240" t="s">
        <v>854</v>
      </c>
      <c r="B188" s="247" t="s">
        <v>138</v>
      </c>
      <c r="C188" s="102" t="s">
        <v>37</v>
      </c>
      <c r="D188" s="406" t="s">
        <v>883</v>
      </c>
      <c r="E188" s="406" t="s">
        <v>1094</v>
      </c>
      <c r="F188" s="406" t="s">
        <v>883</v>
      </c>
      <c r="G188" s="404" t="s">
        <v>883</v>
      </c>
      <c r="H188" s="404" t="s">
        <v>883</v>
      </c>
      <c r="I188" s="404" t="s">
        <v>883</v>
      </c>
      <c r="J188" s="404" t="s">
        <v>1094</v>
      </c>
      <c r="K188" s="248">
        <v>8.8235294117647062E-4</v>
      </c>
      <c r="L188" s="405" t="s">
        <v>883</v>
      </c>
      <c r="M188" s="405" t="s">
        <v>1094</v>
      </c>
      <c r="N188" s="405" t="s">
        <v>883</v>
      </c>
      <c r="O188" s="405" t="s">
        <v>1094</v>
      </c>
      <c r="P188" s="405" t="s">
        <v>1094</v>
      </c>
      <c r="Q188" s="405" t="s">
        <v>1094</v>
      </c>
      <c r="R188" s="405" t="s">
        <v>883</v>
      </c>
      <c r="S188" s="405" t="s">
        <v>883</v>
      </c>
      <c r="T188" s="405" t="s">
        <v>883</v>
      </c>
      <c r="U188" s="405" t="s">
        <v>883</v>
      </c>
      <c r="V188" s="348"/>
      <c r="W188" s="480"/>
      <c r="X188" s="480"/>
      <c r="Y188" s="93"/>
      <c r="Z188" s="348"/>
      <c r="AA188" s="481"/>
      <c r="AB188" s="348"/>
      <c r="AC188" s="348"/>
      <c r="AD188" s="348"/>
      <c r="AE188" s="348"/>
      <c r="AF188" s="392"/>
      <c r="AG188" s="348"/>
      <c r="AH188" s="348"/>
      <c r="AI188" s="1"/>
    </row>
    <row r="189" spans="1:35" s="109" customFormat="1">
      <c r="A189" s="240" t="s">
        <v>854</v>
      </c>
      <c r="B189" s="255" t="s">
        <v>281</v>
      </c>
      <c r="C189" s="102" t="s">
        <v>40</v>
      </c>
      <c r="D189" s="406" t="s">
        <v>883</v>
      </c>
      <c r="E189" s="256" t="s">
        <v>1094</v>
      </c>
      <c r="F189" s="406" t="s">
        <v>1094</v>
      </c>
      <c r="G189" s="404" t="s">
        <v>883</v>
      </c>
      <c r="H189" s="404" t="s">
        <v>1094</v>
      </c>
      <c r="I189" s="404" t="s">
        <v>883</v>
      </c>
      <c r="J189" s="404" t="s">
        <v>1094</v>
      </c>
      <c r="K189" s="248">
        <v>1.6666666666666666E-2</v>
      </c>
      <c r="L189" s="405" t="s">
        <v>883</v>
      </c>
      <c r="M189" s="405" t="s">
        <v>1094</v>
      </c>
      <c r="N189" s="405" t="s">
        <v>1094</v>
      </c>
      <c r="O189" s="405" t="s">
        <v>883</v>
      </c>
      <c r="P189" s="405" t="s">
        <v>883</v>
      </c>
      <c r="Q189" s="405" t="s">
        <v>883</v>
      </c>
      <c r="R189" s="405" t="s">
        <v>1094</v>
      </c>
      <c r="S189" s="405" t="s">
        <v>1094</v>
      </c>
      <c r="T189" s="405" t="s">
        <v>883</v>
      </c>
      <c r="U189" s="405" t="s">
        <v>883</v>
      </c>
      <c r="V189" s="348"/>
      <c r="W189" s="480"/>
      <c r="X189" s="480"/>
      <c r="Y189" s="93"/>
      <c r="Z189" s="348"/>
      <c r="AA189" s="481"/>
      <c r="AB189" s="348"/>
      <c r="AC189" s="348"/>
      <c r="AD189" s="348"/>
      <c r="AE189" s="348"/>
      <c r="AF189" s="392"/>
      <c r="AG189" s="348"/>
      <c r="AH189" s="348"/>
      <c r="AI189" s="1"/>
    </row>
    <row r="190" spans="1:35" s="109" customFormat="1">
      <c r="A190" s="240" t="s">
        <v>854</v>
      </c>
      <c r="B190" s="255" t="s">
        <v>172</v>
      </c>
      <c r="C190" s="102" t="s">
        <v>72</v>
      </c>
      <c r="D190" s="256" t="s">
        <v>1094</v>
      </c>
      <c r="E190" s="406" t="s">
        <v>883</v>
      </c>
      <c r="F190" s="406" t="s">
        <v>883</v>
      </c>
      <c r="G190" s="404" t="s">
        <v>1094</v>
      </c>
      <c r="H190" s="404" t="s">
        <v>1094</v>
      </c>
      <c r="I190" s="404" t="s">
        <v>883</v>
      </c>
      <c r="J190" s="404" t="s">
        <v>883</v>
      </c>
      <c r="K190" s="248">
        <v>9.6982758620689654E-4</v>
      </c>
      <c r="L190" s="405" t="s">
        <v>1094</v>
      </c>
      <c r="M190" s="405" t="s">
        <v>1094</v>
      </c>
      <c r="N190" s="405" t="s">
        <v>1094</v>
      </c>
      <c r="O190" s="405" t="s">
        <v>1094</v>
      </c>
      <c r="P190" s="405" t="s">
        <v>1094</v>
      </c>
      <c r="Q190" s="405" t="s">
        <v>1094</v>
      </c>
      <c r="R190" s="405" t="s">
        <v>1094</v>
      </c>
      <c r="S190" s="405" t="s">
        <v>1094</v>
      </c>
      <c r="T190" s="405" t="s">
        <v>1094</v>
      </c>
      <c r="U190" s="405" t="s">
        <v>1094</v>
      </c>
      <c r="V190" s="348"/>
      <c r="W190" s="480"/>
      <c r="X190" s="480"/>
      <c r="Y190" s="93"/>
      <c r="Z190" s="348"/>
      <c r="AA190" s="481"/>
      <c r="AB190" s="348"/>
      <c r="AC190" s="348"/>
      <c r="AD190" s="348"/>
      <c r="AE190" s="348"/>
      <c r="AF190" s="392"/>
      <c r="AG190" s="348"/>
      <c r="AH190" s="348"/>
      <c r="AI190" s="1"/>
    </row>
    <row r="191" spans="1:35" s="109" customFormat="1">
      <c r="A191" s="240" t="s">
        <v>854</v>
      </c>
      <c r="B191" s="247" t="s">
        <v>153</v>
      </c>
      <c r="C191" s="102" t="s">
        <v>51</v>
      </c>
      <c r="D191" s="406" t="s">
        <v>883</v>
      </c>
      <c r="E191" s="406" t="s">
        <v>1094</v>
      </c>
      <c r="F191" s="406" t="s">
        <v>883</v>
      </c>
      <c r="G191" s="404" t="s">
        <v>1094</v>
      </c>
      <c r="H191" s="404" t="s">
        <v>1094</v>
      </c>
      <c r="I191" s="404" t="s">
        <v>883</v>
      </c>
      <c r="J191" s="404" t="s">
        <v>1094</v>
      </c>
      <c r="K191" s="248">
        <v>1.1999999999999999E-3</v>
      </c>
      <c r="L191" s="405" t="s">
        <v>1094</v>
      </c>
      <c r="M191" s="405" t="s">
        <v>1094</v>
      </c>
      <c r="N191" s="405" t="s">
        <v>1094</v>
      </c>
      <c r="O191" s="405" t="s">
        <v>1094</v>
      </c>
      <c r="P191" s="405" t="s">
        <v>1094</v>
      </c>
      <c r="Q191" s="405" t="s">
        <v>1094</v>
      </c>
      <c r="R191" s="405" t="s">
        <v>1094</v>
      </c>
      <c r="S191" s="405" t="s">
        <v>1094</v>
      </c>
      <c r="T191" s="405" t="s">
        <v>1094</v>
      </c>
      <c r="U191" s="405" t="s">
        <v>1094</v>
      </c>
      <c r="V191" s="348"/>
      <c r="W191" s="480"/>
      <c r="X191" s="480"/>
      <c r="Y191" s="93"/>
      <c r="Z191" s="348"/>
      <c r="AA191" s="481"/>
      <c r="AB191" s="348"/>
      <c r="AC191" s="348"/>
      <c r="AD191" s="348"/>
      <c r="AE191" s="348"/>
      <c r="AF191" s="392"/>
      <c r="AG191" s="348"/>
      <c r="AH191" s="348"/>
      <c r="AI191" s="1"/>
    </row>
    <row r="192" spans="1:35" s="109" customFormat="1">
      <c r="A192" s="240" t="s">
        <v>854</v>
      </c>
      <c r="B192" s="255" t="s">
        <v>214</v>
      </c>
      <c r="C192" s="102" t="s">
        <v>1068</v>
      </c>
      <c r="D192" s="406" t="s">
        <v>883</v>
      </c>
      <c r="E192" s="256" t="s">
        <v>883</v>
      </c>
      <c r="F192" s="256" t="s">
        <v>1094</v>
      </c>
      <c r="G192" s="404" t="s">
        <v>1094</v>
      </c>
      <c r="H192" s="404" t="s">
        <v>1094</v>
      </c>
      <c r="I192" s="404" t="s">
        <v>1094</v>
      </c>
      <c r="J192" s="404" t="s">
        <v>883</v>
      </c>
      <c r="K192" s="248">
        <v>6.114130434782609E-6</v>
      </c>
      <c r="L192" s="405" t="s">
        <v>1094</v>
      </c>
      <c r="M192" s="405" t="s">
        <v>1094</v>
      </c>
      <c r="N192" s="405" t="s">
        <v>1094</v>
      </c>
      <c r="O192" s="405" t="s">
        <v>1094</v>
      </c>
      <c r="P192" s="405" t="s">
        <v>1094</v>
      </c>
      <c r="Q192" s="405" t="s">
        <v>1094</v>
      </c>
      <c r="R192" s="405" t="s">
        <v>1094</v>
      </c>
      <c r="S192" s="405" t="s">
        <v>1094</v>
      </c>
      <c r="T192" s="405" t="s">
        <v>1094</v>
      </c>
      <c r="U192" s="405" t="s">
        <v>1094</v>
      </c>
      <c r="V192" s="348"/>
      <c r="W192" s="480"/>
      <c r="X192" s="480"/>
      <c r="Y192" s="93"/>
      <c r="Z192" s="348"/>
      <c r="AA192" s="481"/>
      <c r="AB192" s="348"/>
      <c r="AC192" s="348"/>
      <c r="AD192" s="348"/>
      <c r="AE192" s="348"/>
      <c r="AF192" s="392"/>
      <c r="AG192" s="348"/>
      <c r="AH192" s="348"/>
      <c r="AI192" s="1"/>
    </row>
    <row r="193" spans="1:35" s="109" customFormat="1">
      <c r="A193" s="240" t="s">
        <v>854</v>
      </c>
      <c r="B193" s="255" t="s">
        <v>205</v>
      </c>
      <c r="C193" s="102" t="s">
        <v>107</v>
      </c>
      <c r="D193" s="256" t="s">
        <v>1094</v>
      </c>
      <c r="E193" s="406" t="s">
        <v>883</v>
      </c>
      <c r="F193" s="406" t="s">
        <v>883</v>
      </c>
      <c r="G193" s="404" t="s">
        <v>1094</v>
      </c>
      <c r="H193" s="404" t="s">
        <v>1094</v>
      </c>
      <c r="I193" s="404" t="s">
        <v>883</v>
      </c>
      <c r="J193" s="404" t="s">
        <v>883</v>
      </c>
      <c r="K193" s="248">
        <v>6.2500000000000001E-4</v>
      </c>
      <c r="L193" s="405" t="s">
        <v>883</v>
      </c>
      <c r="M193" s="405" t="s">
        <v>883</v>
      </c>
      <c r="N193" s="405" t="s">
        <v>883</v>
      </c>
      <c r="O193" s="405" t="s">
        <v>883</v>
      </c>
      <c r="P193" s="405" t="s">
        <v>883</v>
      </c>
      <c r="Q193" s="405" t="s">
        <v>1094</v>
      </c>
      <c r="R193" s="405" t="s">
        <v>883</v>
      </c>
      <c r="S193" s="405" t="s">
        <v>883</v>
      </c>
      <c r="T193" s="405" t="s">
        <v>883</v>
      </c>
      <c r="U193" s="405" t="s">
        <v>883</v>
      </c>
      <c r="V193" s="348"/>
      <c r="W193" s="480"/>
      <c r="X193" s="480"/>
      <c r="Y193" s="93"/>
      <c r="Z193" s="348"/>
      <c r="AA193" s="481"/>
      <c r="AB193" s="348"/>
      <c r="AC193" s="348"/>
      <c r="AD193" s="348"/>
      <c r="AE193" s="348"/>
      <c r="AF193" s="392"/>
      <c r="AG193" s="348"/>
      <c r="AH193" s="348"/>
      <c r="AI193" s="1"/>
    </row>
    <row r="194" spans="1:35" s="109" customFormat="1">
      <c r="A194" s="240" t="s">
        <v>854</v>
      </c>
      <c r="B194" s="255" t="s">
        <v>123</v>
      </c>
      <c r="C194" s="102" t="s">
        <v>19</v>
      </c>
      <c r="D194" s="256" t="s">
        <v>1094</v>
      </c>
      <c r="E194" s="406" t="s">
        <v>883</v>
      </c>
      <c r="F194" s="406" t="s">
        <v>883</v>
      </c>
      <c r="G194" s="404" t="s">
        <v>1094</v>
      </c>
      <c r="H194" s="404" t="s">
        <v>1094</v>
      </c>
      <c r="I194" s="404" t="s">
        <v>883</v>
      </c>
      <c r="J194" s="404" t="s">
        <v>883</v>
      </c>
      <c r="K194" s="248">
        <v>1.4285714285714286E-3</v>
      </c>
      <c r="L194" s="405" t="s">
        <v>883</v>
      </c>
      <c r="M194" s="405" t="s">
        <v>1094</v>
      </c>
      <c r="N194" s="405" t="s">
        <v>883</v>
      </c>
      <c r="O194" s="405" t="s">
        <v>883</v>
      </c>
      <c r="P194" s="405" t="s">
        <v>883</v>
      </c>
      <c r="Q194" s="405" t="s">
        <v>1094</v>
      </c>
      <c r="R194" s="405" t="s">
        <v>883</v>
      </c>
      <c r="S194" s="405" t="s">
        <v>883</v>
      </c>
      <c r="T194" s="405" t="s">
        <v>1094</v>
      </c>
      <c r="U194" s="405" t="s">
        <v>1094</v>
      </c>
      <c r="V194" s="348"/>
      <c r="W194" s="480"/>
      <c r="X194" s="480"/>
      <c r="Y194" s="93"/>
      <c r="Z194" s="348"/>
      <c r="AA194" s="481"/>
      <c r="AB194" s="348"/>
      <c r="AC194" s="348"/>
      <c r="AD194" s="348"/>
      <c r="AE194" s="348"/>
      <c r="AF194" s="392"/>
      <c r="AG194" s="348"/>
      <c r="AH194" s="348"/>
      <c r="AI194" s="1"/>
    </row>
    <row r="195" spans="1:35" s="109" customFormat="1">
      <c r="A195" s="240" t="s">
        <v>854</v>
      </c>
      <c r="B195" s="255" t="s">
        <v>147</v>
      </c>
      <c r="C195" s="102" t="s">
        <v>45</v>
      </c>
      <c r="D195" s="406" t="s">
        <v>883</v>
      </c>
      <c r="E195" s="256" t="s">
        <v>883</v>
      </c>
      <c r="F195" s="256" t="s">
        <v>1094</v>
      </c>
      <c r="G195" s="404" t="s">
        <v>1094</v>
      </c>
      <c r="H195" s="404" t="s">
        <v>1094</v>
      </c>
      <c r="I195" s="404" t="s">
        <v>1094</v>
      </c>
      <c r="J195" s="404" t="s">
        <v>883</v>
      </c>
      <c r="K195" s="248">
        <v>1.7578125E-3</v>
      </c>
      <c r="L195" s="405" t="s">
        <v>883</v>
      </c>
      <c r="M195" s="405" t="s">
        <v>1094</v>
      </c>
      <c r="N195" s="405" t="s">
        <v>883</v>
      </c>
      <c r="O195" s="405" t="s">
        <v>1094</v>
      </c>
      <c r="P195" s="405" t="s">
        <v>883</v>
      </c>
      <c r="Q195" s="405" t="s">
        <v>1094</v>
      </c>
      <c r="R195" s="405" t="s">
        <v>883</v>
      </c>
      <c r="S195" s="405" t="s">
        <v>1094</v>
      </c>
      <c r="T195" s="405" t="s">
        <v>883</v>
      </c>
      <c r="U195" s="405" t="s">
        <v>883</v>
      </c>
      <c r="V195" s="348"/>
      <c r="W195" s="480"/>
      <c r="X195" s="480"/>
      <c r="Y195" s="93"/>
      <c r="Z195" s="348"/>
      <c r="AA195" s="481"/>
      <c r="AB195" s="348"/>
      <c r="AC195" s="348"/>
      <c r="AD195" s="348"/>
      <c r="AE195" s="348"/>
      <c r="AF195" s="392"/>
      <c r="AG195" s="348"/>
      <c r="AH195" s="348"/>
      <c r="AI195" s="1"/>
    </row>
    <row r="196" spans="1:35" s="109" customFormat="1">
      <c r="A196" s="240" t="s">
        <v>854</v>
      </c>
      <c r="B196" s="255" t="s">
        <v>183</v>
      </c>
      <c r="C196" s="102" t="s">
        <v>85</v>
      </c>
      <c r="D196" s="406" t="s">
        <v>883</v>
      </c>
      <c r="E196" s="256" t="s">
        <v>1094</v>
      </c>
      <c r="F196" s="256" t="s">
        <v>883</v>
      </c>
      <c r="G196" s="404" t="s">
        <v>883</v>
      </c>
      <c r="H196" s="404" t="s">
        <v>1094</v>
      </c>
      <c r="I196" s="404" t="s">
        <v>883</v>
      </c>
      <c r="J196" s="404" t="s">
        <v>1094</v>
      </c>
      <c r="K196" s="248">
        <v>1.3636363636363637E-3</v>
      </c>
      <c r="L196" s="405" t="s">
        <v>1094</v>
      </c>
      <c r="M196" s="405" t="s">
        <v>1094</v>
      </c>
      <c r="N196" s="405" t="s">
        <v>1094</v>
      </c>
      <c r="O196" s="405" t="s">
        <v>1094</v>
      </c>
      <c r="P196" s="405" t="s">
        <v>1094</v>
      </c>
      <c r="Q196" s="405" t="s">
        <v>1094</v>
      </c>
      <c r="R196" s="405" t="s">
        <v>1094</v>
      </c>
      <c r="S196" s="405" t="s">
        <v>1094</v>
      </c>
      <c r="T196" s="405" t="s">
        <v>1094</v>
      </c>
      <c r="U196" s="405" t="s">
        <v>1094</v>
      </c>
      <c r="V196" s="348"/>
      <c r="W196" s="480"/>
      <c r="X196" s="480"/>
      <c r="Y196" s="93"/>
      <c r="Z196" s="348"/>
      <c r="AA196" s="481"/>
      <c r="AB196" s="348"/>
      <c r="AC196" s="348"/>
      <c r="AD196" s="348"/>
      <c r="AE196" s="348"/>
      <c r="AF196" s="392"/>
      <c r="AG196" s="348"/>
      <c r="AH196" s="348"/>
      <c r="AI196" s="1"/>
    </row>
    <row r="197" spans="1:35" s="109" customFormat="1">
      <c r="A197" s="240" t="s">
        <v>854</v>
      </c>
      <c r="B197" s="255" t="s">
        <v>126</v>
      </c>
      <c r="C197" s="102" t="s">
        <v>22</v>
      </c>
      <c r="D197" s="256" t="s">
        <v>1094</v>
      </c>
      <c r="E197" s="406" t="s">
        <v>1094</v>
      </c>
      <c r="F197" s="406" t="s">
        <v>883</v>
      </c>
      <c r="G197" s="404" t="s">
        <v>883</v>
      </c>
      <c r="H197" s="404" t="s">
        <v>883</v>
      </c>
      <c r="I197" s="404" t="s">
        <v>883</v>
      </c>
      <c r="J197" s="404" t="s">
        <v>1094</v>
      </c>
      <c r="K197" s="248">
        <v>3.7006578947368422E-4</v>
      </c>
      <c r="L197" s="405" t="s">
        <v>1094</v>
      </c>
      <c r="M197" s="405" t="s">
        <v>1094</v>
      </c>
      <c r="N197" s="405" t="s">
        <v>1094</v>
      </c>
      <c r="O197" s="405" t="s">
        <v>1094</v>
      </c>
      <c r="P197" s="405" t="s">
        <v>1094</v>
      </c>
      <c r="Q197" s="405" t="s">
        <v>1094</v>
      </c>
      <c r="R197" s="405" t="s">
        <v>1094</v>
      </c>
      <c r="S197" s="405" t="s">
        <v>1094</v>
      </c>
      <c r="T197" s="405" t="s">
        <v>1094</v>
      </c>
      <c r="U197" s="405" t="s">
        <v>1094</v>
      </c>
      <c r="V197" s="348"/>
      <c r="W197" s="480"/>
      <c r="X197" s="480"/>
      <c r="Y197" s="93"/>
      <c r="Z197" s="348"/>
      <c r="AA197" s="481"/>
      <c r="AB197" s="348"/>
      <c r="AC197" s="348"/>
      <c r="AD197" s="348"/>
      <c r="AE197" s="348"/>
      <c r="AF197" s="392"/>
      <c r="AG197" s="348"/>
      <c r="AH197" s="348"/>
      <c r="AI197" s="1"/>
    </row>
    <row r="198" spans="1:35" s="109" customFormat="1">
      <c r="A198" s="240" t="s">
        <v>854</v>
      </c>
      <c r="B198" s="247" t="s">
        <v>167</v>
      </c>
      <c r="C198" s="102" t="s">
        <v>66</v>
      </c>
      <c r="D198" s="406" t="s">
        <v>883</v>
      </c>
      <c r="E198" s="406" t="s">
        <v>883</v>
      </c>
      <c r="F198" s="406" t="s">
        <v>1094</v>
      </c>
      <c r="G198" s="404" t="s">
        <v>883</v>
      </c>
      <c r="H198" s="404" t="s">
        <v>883</v>
      </c>
      <c r="I198" s="404" t="s">
        <v>1094</v>
      </c>
      <c r="J198" s="404" t="s">
        <v>883</v>
      </c>
      <c r="K198" s="248">
        <v>5.0000000000000001E-3</v>
      </c>
      <c r="L198" s="405" t="s">
        <v>1094</v>
      </c>
      <c r="M198" s="405" t="s">
        <v>1094</v>
      </c>
      <c r="N198" s="405" t="s">
        <v>1094</v>
      </c>
      <c r="O198" s="405" t="s">
        <v>1094</v>
      </c>
      <c r="P198" s="405" t="s">
        <v>1094</v>
      </c>
      <c r="Q198" s="405" t="s">
        <v>1094</v>
      </c>
      <c r="R198" s="405" t="s">
        <v>1094</v>
      </c>
      <c r="S198" s="405" t="s">
        <v>1094</v>
      </c>
      <c r="T198" s="405" t="s">
        <v>1094</v>
      </c>
      <c r="U198" s="405" t="s">
        <v>1094</v>
      </c>
      <c r="V198" s="348"/>
      <c r="W198" s="480"/>
      <c r="X198" s="480"/>
      <c r="Y198" s="93"/>
      <c r="Z198" s="348"/>
      <c r="AA198" s="481"/>
      <c r="AB198" s="348"/>
      <c r="AC198" s="348"/>
      <c r="AD198" s="348"/>
      <c r="AE198" s="348"/>
      <c r="AF198" s="392"/>
      <c r="AG198" s="348"/>
      <c r="AH198" s="348"/>
      <c r="AI198" s="1"/>
    </row>
    <row r="199" spans="1:35" s="109" customFormat="1">
      <c r="A199" s="240" t="s">
        <v>854</v>
      </c>
      <c r="B199" s="255" t="s">
        <v>210</v>
      </c>
      <c r="C199" s="102" t="s">
        <v>111</v>
      </c>
      <c r="D199" s="406" t="s">
        <v>883</v>
      </c>
      <c r="E199" s="406" t="s">
        <v>883</v>
      </c>
      <c r="F199" s="256" t="s">
        <v>1094</v>
      </c>
      <c r="G199" s="404" t="s">
        <v>883</v>
      </c>
      <c r="H199" s="404" t="s">
        <v>883</v>
      </c>
      <c r="I199" s="404" t="s">
        <v>1094</v>
      </c>
      <c r="J199" s="404" t="s">
        <v>883</v>
      </c>
      <c r="K199" s="248">
        <v>1.0901162790697674E-3</v>
      </c>
      <c r="L199" s="405" t="s">
        <v>1094</v>
      </c>
      <c r="M199" s="405" t="s">
        <v>1094</v>
      </c>
      <c r="N199" s="405" t="s">
        <v>1094</v>
      </c>
      <c r="O199" s="405" t="s">
        <v>1094</v>
      </c>
      <c r="P199" s="405" t="s">
        <v>1094</v>
      </c>
      <c r="Q199" s="405" t="s">
        <v>1094</v>
      </c>
      <c r="R199" s="405" t="s">
        <v>1094</v>
      </c>
      <c r="S199" s="405" t="s">
        <v>1094</v>
      </c>
      <c r="T199" s="405" t="s">
        <v>1094</v>
      </c>
      <c r="U199" s="405" t="s">
        <v>1094</v>
      </c>
      <c r="V199" s="348"/>
      <c r="W199" s="480"/>
      <c r="X199" s="480"/>
      <c r="Y199" s="93"/>
      <c r="Z199" s="348"/>
      <c r="AA199" s="481"/>
      <c r="AB199" s="348"/>
      <c r="AC199" s="348"/>
      <c r="AD199" s="348"/>
      <c r="AE199" s="348"/>
      <c r="AF199" s="392"/>
      <c r="AG199" s="348"/>
      <c r="AH199" s="348"/>
      <c r="AI199" s="1"/>
    </row>
    <row r="200" spans="1:35" s="109" customFormat="1">
      <c r="A200" s="240" t="s">
        <v>854</v>
      </c>
      <c r="B200" s="247" t="s">
        <v>140</v>
      </c>
      <c r="C200" s="102" t="s">
        <v>39</v>
      </c>
      <c r="D200" s="406" t="s">
        <v>1094</v>
      </c>
      <c r="E200" s="406" t="s">
        <v>1094</v>
      </c>
      <c r="F200" s="406" t="s">
        <v>883</v>
      </c>
      <c r="G200" s="404" t="s">
        <v>1094</v>
      </c>
      <c r="H200" s="404" t="s">
        <v>1094</v>
      </c>
      <c r="I200" s="404" t="s">
        <v>883</v>
      </c>
      <c r="J200" s="404" t="s">
        <v>1094</v>
      </c>
      <c r="K200" s="248">
        <v>1.5625000000000001E-3</v>
      </c>
      <c r="L200" s="405" t="s">
        <v>1094</v>
      </c>
      <c r="M200" s="405" t="s">
        <v>1094</v>
      </c>
      <c r="N200" s="405" t="s">
        <v>1094</v>
      </c>
      <c r="O200" s="405" t="s">
        <v>1094</v>
      </c>
      <c r="P200" s="405" t="s">
        <v>1094</v>
      </c>
      <c r="Q200" s="405" t="s">
        <v>1094</v>
      </c>
      <c r="R200" s="405" t="s">
        <v>1094</v>
      </c>
      <c r="S200" s="405" t="s">
        <v>1094</v>
      </c>
      <c r="T200" s="405" t="s">
        <v>1094</v>
      </c>
      <c r="U200" s="405" t="s">
        <v>1094</v>
      </c>
      <c r="V200" s="348"/>
      <c r="W200" s="480"/>
      <c r="X200" s="480"/>
      <c r="Y200" s="93"/>
      <c r="Z200" s="348"/>
      <c r="AA200" s="481"/>
      <c r="AB200" s="348"/>
      <c r="AC200" s="348"/>
      <c r="AD200" s="348"/>
      <c r="AE200" s="348"/>
      <c r="AF200" s="392"/>
      <c r="AG200" s="348"/>
      <c r="AH200" s="348"/>
      <c r="AI200" s="1"/>
    </row>
    <row r="201" spans="1:35" s="109" customFormat="1">
      <c r="A201" s="240" t="s">
        <v>854</v>
      </c>
      <c r="B201" s="255" t="s">
        <v>150</v>
      </c>
      <c r="C201" s="102" t="s">
        <v>13</v>
      </c>
      <c r="D201" s="406" t="s">
        <v>883</v>
      </c>
      <c r="E201" s="256" t="s">
        <v>883</v>
      </c>
      <c r="F201" s="256" t="s">
        <v>1094</v>
      </c>
      <c r="G201" s="404" t="s">
        <v>1094</v>
      </c>
      <c r="H201" s="404" t="s">
        <v>1094</v>
      </c>
      <c r="I201" s="404" t="s">
        <v>1094</v>
      </c>
      <c r="J201" s="404" t="s">
        <v>1094</v>
      </c>
      <c r="K201" s="248">
        <v>9.0909090909090905E-3</v>
      </c>
      <c r="L201" s="405" t="s">
        <v>1094</v>
      </c>
      <c r="M201" s="405" t="s">
        <v>1094</v>
      </c>
      <c r="N201" s="405" t="s">
        <v>1094</v>
      </c>
      <c r="O201" s="405" t="s">
        <v>1094</v>
      </c>
      <c r="P201" s="405" t="s">
        <v>1094</v>
      </c>
      <c r="Q201" s="405" t="s">
        <v>1094</v>
      </c>
      <c r="R201" s="405" t="s">
        <v>1094</v>
      </c>
      <c r="S201" s="405" t="s">
        <v>1094</v>
      </c>
      <c r="T201" s="405" t="s">
        <v>1094</v>
      </c>
      <c r="U201" s="405" t="s">
        <v>1094</v>
      </c>
      <c r="V201" s="348"/>
      <c r="W201" s="480"/>
      <c r="X201" s="480"/>
      <c r="Y201" s="93"/>
      <c r="Z201" s="348"/>
      <c r="AA201" s="481"/>
      <c r="AB201" s="348"/>
      <c r="AC201" s="348"/>
      <c r="AD201" s="348"/>
      <c r="AE201" s="348"/>
      <c r="AF201" s="392"/>
      <c r="AG201" s="348"/>
      <c r="AH201" s="348"/>
      <c r="AI201" s="1"/>
    </row>
    <row r="202" spans="1:35" s="109" customFormat="1">
      <c r="A202" s="240" t="s">
        <v>854</v>
      </c>
      <c r="B202" s="255" t="s">
        <v>171</v>
      </c>
      <c r="C202" s="102" t="s">
        <v>71</v>
      </c>
      <c r="D202" s="406" t="s">
        <v>883</v>
      </c>
      <c r="E202" s="256" t="s">
        <v>1094</v>
      </c>
      <c r="F202" s="256" t="s">
        <v>1094</v>
      </c>
      <c r="G202" s="404" t="s">
        <v>883</v>
      </c>
      <c r="H202" s="404" t="s">
        <v>1094</v>
      </c>
      <c r="I202" s="404" t="s">
        <v>883</v>
      </c>
      <c r="J202" s="404" t="s">
        <v>1094</v>
      </c>
      <c r="K202" s="248">
        <v>2.3437499999999999E-3</v>
      </c>
      <c r="L202" s="405" t="s">
        <v>883</v>
      </c>
      <c r="M202" s="405" t="s">
        <v>883</v>
      </c>
      <c r="N202" s="405" t="s">
        <v>883</v>
      </c>
      <c r="O202" s="405" t="s">
        <v>883</v>
      </c>
      <c r="P202" s="405" t="s">
        <v>883</v>
      </c>
      <c r="Q202" s="405" t="s">
        <v>883</v>
      </c>
      <c r="R202" s="405" t="s">
        <v>883</v>
      </c>
      <c r="S202" s="405" t="s">
        <v>1094</v>
      </c>
      <c r="T202" s="405" t="s">
        <v>883</v>
      </c>
      <c r="U202" s="405" t="s">
        <v>883</v>
      </c>
      <c r="V202" s="348"/>
      <c r="W202" s="480"/>
      <c r="X202" s="480"/>
      <c r="Y202" s="93"/>
      <c r="Z202" s="348"/>
      <c r="AA202" s="481"/>
      <c r="AB202" s="348"/>
      <c r="AC202" s="348"/>
      <c r="AD202" s="348"/>
      <c r="AE202" s="348"/>
      <c r="AF202" s="392"/>
      <c r="AG202" s="348"/>
      <c r="AH202" s="348"/>
      <c r="AI202" s="1"/>
    </row>
    <row r="203" spans="1:35" s="109" customFormat="1">
      <c r="A203" s="240" t="s">
        <v>854</v>
      </c>
      <c r="B203" s="255" t="s">
        <v>868</v>
      </c>
      <c r="C203" s="102" t="s">
        <v>867</v>
      </c>
      <c r="D203" s="256" t="s">
        <v>1094</v>
      </c>
      <c r="E203" s="256" t="s">
        <v>1094</v>
      </c>
      <c r="F203" s="256" t="s">
        <v>883</v>
      </c>
      <c r="G203" s="404" t="s">
        <v>1094</v>
      </c>
      <c r="H203" s="404" t="s">
        <v>1094</v>
      </c>
      <c r="I203" s="404" t="s">
        <v>883</v>
      </c>
      <c r="J203" s="404" t="s">
        <v>883</v>
      </c>
      <c r="K203" s="248">
        <v>3.1250000000000001E-5</v>
      </c>
      <c r="L203" s="405" t="s">
        <v>1094</v>
      </c>
      <c r="M203" s="405" t="s">
        <v>1094</v>
      </c>
      <c r="N203" s="405" t="s">
        <v>1094</v>
      </c>
      <c r="O203" s="405" t="s">
        <v>1094</v>
      </c>
      <c r="P203" s="405" t="s">
        <v>1094</v>
      </c>
      <c r="Q203" s="405" t="s">
        <v>1094</v>
      </c>
      <c r="R203" s="405" t="s">
        <v>1094</v>
      </c>
      <c r="S203" s="405" t="s">
        <v>1094</v>
      </c>
      <c r="T203" s="405" t="s">
        <v>1094</v>
      </c>
      <c r="U203" s="405" t="s">
        <v>1094</v>
      </c>
      <c r="V203" s="348"/>
      <c r="W203" s="480"/>
      <c r="X203" s="480"/>
      <c r="Y203" s="93"/>
      <c r="Z203" s="348"/>
      <c r="AA203" s="481"/>
      <c r="AB203" s="348"/>
      <c r="AC203" s="348"/>
      <c r="AD203" s="348"/>
      <c r="AE203" s="348"/>
      <c r="AF203" s="392"/>
      <c r="AG203" s="348"/>
      <c r="AH203" s="348"/>
      <c r="AI203" s="1"/>
    </row>
    <row r="204" spans="1:35" s="109" customFormat="1">
      <c r="A204" s="240" t="s">
        <v>854</v>
      </c>
      <c r="B204" s="255" t="s">
        <v>141</v>
      </c>
      <c r="C204" s="102" t="s">
        <v>41</v>
      </c>
      <c r="D204" s="406" t="s">
        <v>883</v>
      </c>
      <c r="E204" s="256" t="s">
        <v>1094</v>
      </c>
      <c r="F204" s="406" t="s">
        <v>1094</v>
      </c>
      <c r="G204" s="404" t="s">
        <v>883</v>
      </c>
      <c r="H204" s="404" t="s">
        <v>1094</v>
      </c>
      <c r="I204" s="404" t="s">
        <v>883</v>
      </c>
      <c r="J204" s="404" t="s">
        <v>1094</v>
      </c>
      <c r="K204" s="248">
        <v>3.3333333333333335E-3</v>
      </c>
      <c r="L204" s="405" t="s">
        <v>1094</v>
      </c>
      <c r="M204" s="405" t="s">
        <v>1094</v>
      </c>
      <c r="N204" s="405" t="s">
        <v>1094</v>
      </c>
      <c r="O204" s="405" t="s">
        <v>1094</v>
      </c>
      <c r="P204" s="405" t="s">
        <v>1094</v>
      </c>
      <c r="Q204" s="405" t="s">
        <v>1094</v>
      </c>
      <c r="R204" s="405" t="s">
        <v>1094</v>
      </c>
      <c r="S204" s="405" t="s">
        <v>1094</v>
      </c>
      <c r="T204" s="405" t="s">
        <v>1094</v>
      </c>
      <c r="U204" s="405" t="s">
        <v>1094</v>
      </c>
      <c r="V204" s="348"/>
      <c r="W204" s="480"/>
      <c r="X204" s="480"/>
      <c r="Y204" s="93"/>
      <c r="Z204" s="348"/>
      <c r="AA204" s="481"/>
      <c r="AB204" s="348"/>
      <c r="AC204" s="348"/>
      <c r="AD204" s="348"/>
      <c r="AE204" s="348"/>
      <c r="AF204" s="392"/>
      <c r="AG204" s="348"/>
      <c r="AH204" s="348"/>
      <c r="AI204" s="1"/>
    </row>
    <row r="205" spans="1:35" s="109" customFormat="1">
      <c r="A205" s="240" t="s">
        <v>854</v>
      </c>
      <c r="B205" s="255" t="s">
        <v>196</v>
      </c>
      <c r="C205" s="102" t="s">
        <v>98</v>
      </c>
      <c r="D205" s="406" t="s">
        <v>883</v>
      </c>
      <c r="E205" s="256" t="s">
        <v>1094</v>
      </c>
      <c r="F205" s="256" t="s">
        <v>883</v>
      </c>
      <c r="G205" s="404" t="s">
        <v>1094</v>
      </c>
      <c r="H205" s="404" t="s">
        <v>1094</v>
      </c>
      <c r="I205" s="404" t="s">
        <v>883</v>
      </c>
      <c r="J205" s="404" t="s">
        <v>883</v>
      </c>
      <c r="K205" s="248">
        <v>6.6964285714285711E-6</v>
      </c>
      <c r="L205" s="405" t="s">
        <v>1094</v>
      </c>
      <c r="M205" s="405" t="s">
        <v>1094</v>
      </c>
      <c r="N205" s="405" t="s">
        <v>1094</v>
      </c>
      <c r="O205" s="405" t="s">
        <v>1094</v>
      </c>
      <c r="P205" s="405" t="s">
        <v>1094</v>
      </c>
      <c r="Q205" s="405" t="s">
        <v>1094</v>
      </c>
      <c r="R205" s="405" t="s">
        <v>1094</v>
      </c>
      <c r="S205" s="405" t="s">
        <v>1094</v>
      </c>
      <c r="T205" s="405" t="s">
        <v>1094</v>
      </c>
      <c r="U205" s="405" t="s">
        <v>1094</v>
      </c>
      <c r="V205" s="348"/>
      <c r="W205" s="480"/>
      <c r="X205" s="480"/>
      <c r="Y205" s="93"/>
      <c r="Z205" s="348"/>
      <c r="AA205" s="481"/>
      <c r="AB205" s="348"/>
      <c r="AC205" s="348"/>
      <c r="AD205" s="348"/>
      <c r="AE205" s="348"/>
      <c r="AF205" s="392"/>
      <c r="AG205" s="348"/>
      <c r="AH205" s="348"/>
      <c r="AI205" s="1"/>
    </row>
    <row r="206" spans="1:35" s="109" customFormat="1">
      <c r="A206" s="240" t="s">
        <v>854</v>
      </c>
      <c r="B206" s="255" t="s">
        <v>144</v>
      </c>
      <c r="C206" s="102" t="s">
        <v>44</v>
      </c>
      <c r="D206" s="406" t="s">
        <v>883</v>
      </c>
      <c r="E206" s="256" t="s">
        <v>883</v>
      </c>
      <c r="F206" s="256" t="s">
        <v>1094</v>
      </c>
      <c r="G206" s="404" t="s">
        <v>1094</v>
      </c>
      <c r="H206" s="404" t="s">
        <v>1094</v>
      </c>
      <c r="I206" s="404" t="s">
        <v>1094</v>
      </c>
      <c r="J206" s="404" t="s">
        <v>883</v>
      </c>
      <c r="K206" s="248">
        <v>2.3076923076923079E-3</v>
      </c>
      <c r="L206" s="405" t="s">
        <v>883</v>
      </c>
      <c r="M206" s="405" t="s">
        <v>1094</v>
      </c>
      <c r="N206" s="405" t="s">
        <v>1094</v>
      </c>
      <c r="O206" s="405" t="s">
        <v>1094</v>
      </c>
      <c r="P206" s="405" t="s">
        <v>1094</v>
      </c>
      <c r="Q206" s="405" t="s">
        <v>883</v>
      </c>
      <c r="R206" s="405" t="s">
        <v>1094</v>
      </c>
      <c r="S206" s="405" t="s">
        <v>1094</v>
      </c>
      <c r="T206" s="405" t="s">
        <v>883</v>
      </c>
      <c r="U206" s="405" t="s">
        <v>883</v>
      </c>
      <c r="V206" s="348"/>
      <c r="W206" s="480"/>
      <c r="X206" s="480"/>
      <c r="Y206" s="93"/>
      <c r="Z206" s="348"/>
      <c r="AA206" s="481"/>
      <c r="AB206" s="348"/>
      <c r="AC206" s="348"/>
      <c r="AD206" s="348"/>
      <c r="AE206" s="348"/>
      <c r="AF206" s="392"/>
      <c r="AG206" s="348"/>
      <c r="AH206" s="348"/>
      <c r="AI206" s="1"/>
    </row>
    <row r="207" spans="1:35" s="109" customFormat="1">
      <c r="A207" s="506" t="s">
        <v>854</v>
      </c>
      <c r="B207" s="507" t="s">
        <v>11179</v>
      </c>
      <c r="C207" s="508" t="s">
        <v>11180</v>
      </c>
      <c r="D207" s="524" t="s">
        <v>883</v>
      </c>
      <c r="E207" s="524" t="s">
        <v>1094</v>
      </c>
      <c r="F207" s="524" t="s">
        <v>883</v>
      </c>
      <c r="G207" s="525" t="s">
        <v>883</v>
      </c>
      <c r="H207" s="525" t="s">
        <v>1094</v>
      </c>
      <c r="I207" s="525" t="s">
        <v>883</v>
      </c>
      <c r="J207" s="525" t="s">
        <v>1094</v>
      </c>
      <c r="K207" s="511">
        <v>2.3999999999999998E-3</v>
      </c>
      <c r="L207" s="511" t="s">
        <v>883</v>
      </c>
      <c r="M207" s="511" t="s">
        <v>1094</v>
      </c>
      <c r="N207" s="511" t="s">
        <v>1094</v>
      </c>
      <c r="O207" s="511" t="s">
        <v>1094</v>
      </c>
      <c r="P207" s="511" t="s">
        <v>1094</v>
      </c>
      <c r="Q207" s="511" t="s">
        <v>883</v>
      </c>
      <c r="R207" s="511" t="s">
        <v>1094</v>
      </c>
      <c r="S207" s="511" t="s">
        <v>1094</v>
      </c>
      <c r="T207" s="511" t="s">
        <v>883</v>
      </c>
      <c r="U207" s="511" t="s">
        <v>883</v>
      </c>
      <c r="V207" s="348"/>
      <c r="W207" s="480"/>
      <c r="X207" s="480"/>
      <c r="Y207" s="93"/>
      <c r="Z207" s="348"/>
      <c r="AA207" s="481"/>
      <c r="AB207" s="348"/>
      <c r="AC207" s="348"/>
      <c r="AD207" s="348"/>
      <c r="AE207" s="348"/>
      <c r="AF207" s="392"/>
      <c r="AG207" s="348"/>
      <c r="AH207" s="348"/>
      <c r="AI207" s="1"/>
    </row>
    <row r="208" spans="1:35" s="109" customFormat="1">
      <c r="A208" s="240" t="s">
        <v>854</v>
      </c>
      <c r="B208" s="591" t="s">
        <v>157</v>
      </c>
      <c r="C208" s="102" t="s">
        <v>55</v>
      </c>
      <c r="D208" s="406" t="s">
        <v>883</v>
      </c>
      <c r="E208" s="406" t="s">
        <v>1094</v>
      </c>
      <c r="F208" s="406" t="s">
        <v>1094</v>
      </c>
      <c r="G208" s="404" t="s">
        <v>883</v>
      </c>
      <c r="H208" s="404" t="s">
        <v>1094</v>
      </c>
      <c r="I208" s="404" t="s">
        <v>883</v>
      </c>
      <c r="J208" s="404" t="s">
        <v>1094</v>
      </c>
      <c r="K208" s="248">
        <v>1.2784090909090909E-3</v>
      </c>
      <c r="L208" s="405" t="s">
        <v>883</v>
      </c>
      <c r="M208" s="405" t="s">
        <v>1094</v>
      </c>
      <c r="N208" s="405" t="s">
        <v>883</v>
      </c>
      <c r="O208" s="405" t="s">
        <v>1094</v>
      </c>
      <c r="P208" s="405" t="s">
        <v>1094</v>
      </c>
      <c r="Q208" s="405" t="s">
        <v>883</v>
      </c>
      <c r="R208" s="405" t="s">
        <v>883</v>
      </c>
      <c r="S208" s="405" t="s">
        <v>883</v>
      </c>
      <c r="T208" s="405" t="s">
        <v>883</v>
      </c>
      <c r="U208" s="405" t="s">
        <v>883</v>
      </c>
      <c r="V208" s="348"/>
      <c r="W208" s="480"/>
      <c r="X208" s="480"/>
      <c r="Y208" s="93"/>
      <c r="Z208" s="348"/>
      <c r="AA208" s="481"/>
      <c r="AB208" s="348"/>
      <c r="AC208" s="348"/>
      <c r="AD208" s="348"/>
      <c r="AE208" s="348"/>
      <c r="AF208" s="392"/>
      <c r="AG208" s="348"/>
      <c r="AH208" s="348"/>
      <c r="AI208" s="1"/>
    </row>
    <row r="209" spans="1:35" s="109" customFormat="1">
      <c r="A209" s="240" t="s">
        <v>854</v>
      </c>
      <c r="B209" s="247" t="s">
        <v>197</v>
      </c>
      <c r="C209" s="102" t="s">
        <v>99</v>
      </c>
      <c r="D209" s="406" t="s">
        <v>883</v>
      </c>
      <c r="E209" s="406" t="s">
        <v>1094</v>
      </c>
      <c r="F209" s="406" t="s">
        <v>1094</v>
      </c>
      <c r="G209" s="404" t="s">
        <v>1094</v>
      </c>
      <c r="H209" s="404" t="s">
        <v>883</v>
      </c>
      <c r="I209" s="404" t="s">
        <v>1094</v>
      </c>
      <c r="J209" s="404" t="s">
        <v>883</v>
      </c>
      <c r="K209" s="248">
        <v>2.1609940572663425E-5</v>
      </c>
      <c r="L209" s="405" t="s">
        <v>1094</v>
      </c>
      <c r="M209" s="405" t="s">
        <v>1094</v>
      </c>
      <c r="N209" s="405" t="s">
        <v>1094</v>
      </c>
      <c r="O209" s="405" t="s">
        <v>1094</v>
      </c>
      <c r="P209" s="405" t="s">
        <v>1094</v>
      </c>
      <c r="Q209" s="405" t="s">
        <v>1094</v>
      </c>
      <c r="R209" s="405" t="s">
        <v>1094</v>
      </c>
      <c r="S209" s="405" t="s">
        <v>1094</v>
      </c>
      <c r="T209" s="405" t="s">
        <v>1094</v>
      </c>
      <c r="U209" s="405" t="s">
        <v>1094</v>
      </c>
      <c r="V209" s="348"/>
      <c r="W209" s="480"/>
      <c r="X209" s="480"/>
      <c r="Y209" s="93"/>
      <c r="Z209" s="348"/>
      <c r="AA209" s="481"/>
      <c r="AB209" s="348"/>
      <c r="AC209" s="348"/>
      <c r="AD209" s="348"/>
      <c r="AE209" s="348"/>
      <c r="AF209" s="392"/>
      <c r="AG209" s="348"/>
      <c r="AH209" s="348"/>
      <c r="AI209" s="1"/>
    </row>
    <row r="210" spans="1:35" s="109" customFormat="1">
      <c r="A210" s="240" t="s">
        <v>854</v>
      </c>
      <c r="B210" s="388" t="s">
        <v>137</v>
      </c>
      <c r="C210" s="102" t="s">
        <v>35</v>
      </c>
      <c r="D210" s="406" t="s">
        <v>883</v>
      </c>
      <c r="E210" s="406" t="s">
        <v>883</v>
      </c>
      <c r="F210" s="406" t="s">
        <v>1094</v>
      </c>
      <c r="G210" s="404" t="s">
        <v>1094</v>
      </c>
      <c r="H210" s="404" t="s">
        <v>1094</v>
      </c>
      <c r="I210" s="404" t="s">
        <v>1094</v>
      </c>
      <c r="J210" s="404" t="s">
        <v>883</v>
      </c>
      <c r="K210" s="248">
        <v>9.3023255813953494E-4</v>
      </c>
      <c r="L210" s="405" t="s">
        <v>883</v>
      </c>
      <c r="M210" s="405" t="s">
        <v>1094</v>
      </c>
      <c r="N210" s="405" t="s">
        <v>1094</v>
      </c>
      <c r="O210" s="405" t="s">
        <v>1094</v>
      </c>
      <c r="P210" s="405" t="s">
        <v>883</v>
      </c>
      <c r="Q210" s="405" t="s">
        <v>1094</v>
      </c>
      <c r="R210" s="405" t="s">
        <v>883</v>
      </c>
      <c r="S210" s="405" t="s">
        <v>883</v>
      </c>
      <c r="T210" s="405" t="s">
        <v>883</v>
      </c>
      <c r="U210" s="405" t="s">
        <v>883</v>
      </c>
      <c r="V210" s="348"/>
      <c r="W210" s="480"/>
      <c r="X210" s="480"/>
      <c r="Y210" s="93"/>
      <c r="Z210" s="348"/>
      <c r="AA210" s="481"/>
      <c r="AB210" s="348"/>
      <c r="AC210" s="348"/>
      <c r="AD210" s="348"/>
      <c r="AE210" s="348"/>
      <c r="AF210" s="392"/>
      <c r="AG210" s="348"/>
      <c r="AH210" s="348"/>
      <c r="AI210" s="1"/>
    </row>
    <row r="211" spans="1:35" s="109" customFormat="1">
      <c r="A211" s="240" t="s">
        <v>854</v>
      </c>
      <c r="B211" s="247" t="s">
        <v>139</v>
      </c>
      <c r="C211" s="102" t="s">
        <v>38</v>
      </c>
      <c r="D211" s="406" t="s">
        <v>883</v>
      </c>
      <c r="E211" s="406" t="s">
        <v>1094</v>
      </c>
      <c r="F211" s="406" t="s">
        <v>883</v>
      </c>
      <c r="G211" s="404" t="s">
        <v>883</v>
      </c>
      <c r="H211" s="404" t="s">
        <v>883</v>
      </c>
      <c r="I211" s="404" t="s">
        <v>883</v>
      </c>
      <c r="J211" s="404" t="s">
        <v>1094</v>
      </c>
      <c r="K211" s="248">
        <v>1.8749999999999999E-3</v>
      </c>
      <c r="L211" s="405" t="s">
        <v>883</v>
      </c>
      <c r="M211" s="405" t="s">
        <v>1094</v>
      </c>
      <c r="N211" s="405" t="s">
        <v>1094</v>
      </c>
      <c r="O211" s="405" t="s">
        <v>1094</v>
      </c>
      <c r="P211" s="405" t="s">
        <v>1094</v>
      </c>
      <c r="Q211" s="405" t="s">
        <v>883</v>
      </c>
      <c r="R211" s="405" t="s">
        <v>1094</v>
      </c>
      <c r="S211" s="405" t="s">
        <v>1094</v>
      </c>
      <c r="T211" s="405" t="s">
        <v>883</v>
      </c>
      <c r="U211" s="405" t="s">
        <v>883</v>
      </c>
      <c r="V211" s="348"/>
      <c r="W211" s="480"/>
      <c r="X211" s="480"/>
      <c r="Y211" s="93"/>
      <c r="Z211" s="348"/>
      <c r="AA211" s="481"/>
      <c r="AB211" s="348"/>
      <c r="AC211" s="348"/>
      <c r="AD211" s="348"/>
      <c r="AE211" s="348"/>
      <c r="AF211" s="392"/>
      <c r="AG211" s="348"/>
      <c r="AH211" s="348"/>
      <c r="AI211" s="1"/>
    </row>
    <row r="212" spans="1:35" s="109" customFormat="1">
      <c r="A212" s="240" t="s">
        <v>854</v>
      </c>
      <c r="B212" s="255" t="s">
        <v>209</v>
      </c>
      <c r="C212" s="102" t="s">
        <v>1085</v>
      </c>
      <c r="D212" s="256" t="s">
        <v>1094</v>
      </c>
      <c r="E212" s="256" t="s">
        <v>1094</v>
      </c>
      <c r="F212" s="406" t="s">
        <v>883</v>
      </c>
      <c r="G212" s="404" t="s">
        <v>1094</v>
      </c>
      <c r="H212" s="404" t="s">
        <v>1094</v>
      </c>
      <c r="I212" s="404" t="s">
        <v>883</v>
      </c>
      <c r="J212" s="404" t="s">
        <v>883</v>
      </c>
      <c r="K212" s="248">
        <v>5.0000000000000002E-5</v>
      </c>
      <c r="L212" s="405" t="s">
        <v>1094</v>
      </c>
      <c r="M212" s="405" t="s">
        <v>1094</v>
      </c>
      <c r="N212" s="405" t="s">
        <v>1094</v>
      </c>
      <c r="O212" s="405" t="s">
        <v>1094</v>
      </c>
      <c r="P212" s="405" t="s">
        <v>1094</v>
      </c>
      <c r="Q212" s="405" t="s">
        <v>1094</v>
      </c>
      <c r="R212" s="405" t="s">
        <v>1094</v>
      </c>
      <c r="S212" s="405" t="s">
        <v>1094</v>
      </c>
      <c r="T212" s="405" t="s">
        <v>1094</v>
      </c>
      <c r="U212" s="405" t="s">
        <v>1094</v>
      </c>
      <c r="V212" s="348"/>
      <c r="W212" s="480"/>
      <c r="X212" s="480"/>
      <c r="Y212" s="93"/>
      <c r="Z212" s="348"/>
      <c r="AA212" s="481"/>
      <c r="AB212" s="348"/>
      <c r="AC212" s="348"/>
      <c r="AD212" s="348"/>
      <c r="AE212" s="348"/>
      <c r="AF212" s="392"/>
      <c r="AG212" s="348"/>
      <c r="AH212" s="348"/>
      <c r="AI212" s="1"/>
    </row>
    <row r="213" spans="1:35" s="109" customFormat="1">
      <c r="A213" s="240" t="s">
        <v>854</v>
      </c>
      <c r="B213" s="255" t="s">
        <v>133</v>
      </c>
      <c r="C213" s="102" t="s">
        <v>31</v>
      </c>
      <c r="D213" s="406" t="s">
        <v>883</v>
      </c>
      <c r="E213" s="256" t="s">
        <v>883</v>
      </c>
      <c r="F213" s="256" t="s">
        <v>1094</v>
      </c>
      <c r="G213" s="404" t="s">
        <v>1094</v>
      </c>
      <c r="H213" s="404" t="s">
        <v>1094</v>
      </c>
      <c r="I213" s="404" t="s">
        <v>883</v>
      </c>
      <c r="J213" s="404" t="s">
        <v>883</v>
      </c>
      <c r="K213" s="248">
        <v>3.1250000000000001E-4</v>
      </c>
      <c r="L213" s="405" t="s">
        <v>883</v>
      </c>
      <c r="M213" s="405" t="s">
        <v>883</v>
      </c>
      <c r="N213" s="405" t="s">
        <v>883</v>
      </c>
      <c r="O213" s="405" t="s">
        <v>883</v>
      </c>
      <c r="P213" s="405" t="s">
        <v>883</v>
      </c>
      <c r="Q213" s="405" t="s">
        <v>1094</v>
      </c>
      <c r="R213" s="405" t="s">
        <v>883</v>
      </c>
      <c r="S213" s="405" t="s">
        <v>883</v>
      </c>
      <c r="T213" s="405" t="s">
        <v>883</v>
      </c>
      <c r="U213" s="405" t="s">
        <v>883</v>
      </c>
      <c r="V213" s="348"/>
      <c r="W213" s="480"/>
      <c r="X213" s="480"/>
      <c r="Y213" s="93"/>
      <c r="Z213" s="348"/>
      <c r="AA213" s="481"/>
      <c r="AB213" s="348"/>
      <c r="AC213" s="348"/>
      <c r="AD213" s="348"/>
      <c r="AE213" s="348"/>
      <c r="AF213" s="392"/>
      <c r="AG213" s="348"/>
      <c r="AH213" s="348"/>
      <c r="AI213" s="1"/>
    </row>
    <row r="214" spans="1:35" s="109" customFormat="1">
      <c r="A214" s="240" t="s">
        <v>854</v>
      </c>
      <c r="B214" s="255" t="s">
        <v>204</v>
      </c>
      <c r="C214" s="102" t="s">
        <v>106</v>
      </c>
      <c r="D214" s="256" t="s">
        <v>1094</v>
      </c>
      <c r="E214" s="406" t="s">
        <v>1094</v>
      </c>
      <c r="F214" s="406" t="s">
        <v>883</v>
      </c>
      <c r="G214" s="404" t="s">
        <v>1094</v>
      </c>
      <c r="H214" s="404" t="s">
        <v>1094</v>
      </c>
      <c r="I214" s="404" t="s">
        <v>883</v>
      </c>
      <c r="J214" s="404" t="s">
        <v>883</v>
      </c>
      <c r="K214" s="248">
        <v>5.8593749999999998E-5</v>
      </c>
      <c r="L214" s="405" t="s">
        <v>1094</v>
      </c>
      <c r="M214" s="405" t="s">
        <v>1094</v>
      </c>
      <c r="N214" s="405" t="s">
        <v>1094</v>
      </c>
      <c r="O214" s="405" t="s">
        <v>1094</v>
      </c>
      <c r="P214" s="405" t="s">
        <v>1094</v>
      </c>
      <c r="Q214" s="405" t="s">
        <v>1094</v>
      </c>
      <c r="R214" s="405" t="s">
        <v>1094</v>
      </c>
      <c r="S214" s="405" t="s">
        <v>1094</v>
      </c>
      <c r="T214" s="405" t="s">
        <v>1094</v>
      </c>
      <c r="U214" s="405" t="s">
        <v>1094</v>
      </c>
      <c r="V214" s="348"/>
      <c r="W214" s="480"/>
      <c r="X214" s="480"/>
      <c r="Y214" s="93"/>
      <c r="Z214" s="348"/>
      <c r="AA214" s="481"/>
      <c r="AB214" s="348"/>
      <c r="AC214" s="348"/>
      <c r="AD214" s="348"/>
      <c r="AE214" s="348"/>
      <c r="AF214" s="392"/>
      <c r="AG214" s="348"/>
      <c r="AH214" s="348"/>
      <c r="AI214" s="1"/>
    </row>
    <row r="215" spans="1:35" s="109" customFormat="1">
      <c r="A215" s="240" t="s">
        <v>854</v>
      </c>
      <c r="B215" s="255" t="s">
        <v>203</v>
      </c>
      <c r="C215" s="102" t="s">
        <v>105</v>
      </c>
      <c r="D215" s="406" t="s">
        <v>883</v>
      </c>
      <c r="E215" s="256" t="s">
        <v>883</v>
      </c>
      <c r="F215" s="256" t="s">
        <v>1094</v>
      </c>
      <c r="G215" s="404" t="s">
        <v>1094</v>
      </c>
      <c r="H215" s="404" t="s">
        <v>1094</v>
      </c>
      <c r="I215" s="404" t="s">
        <v>1094</v>
      </c>
      <c r="J215" s="404" t="s">
        <v>1094</v>
      </c>
      <c r="K215" s="248">
        <v>6.857142857142857E-4</v>
      </c>
      <c r="L215" s="405" t="s">
        <v>1094</v>
      </c>
      <c r="M215" s="405" t="s">
        <v>1094</v>
      </c>
      <c r="N215" s="405" t="s">
        <v>1094</v>
      </c>
      <c r="O215" s="405" t="s">
        <v>1094</v>
      </c>
      <c r="P215" s="405" t="s">
        <v>1094</v>
      </c>
      <c r="Q215" s="405" t="s">
        <v>1094</v>
      </c>
      <c r="R215" s="405" t="s">
        <v>1094</v>
      </c>
      <c r="S215" s="405" t="s">
        <v>1094</v>
      </c>
      <c r="T215" s="405" t="s">
        <v>1094</v>
      </c>
      <c r="U215" s="405" t="s">
        <v>1094</v>
      </c>
      <c r="V215" s="348"/>
      <c r="W215" s="480"/>
      <c r="X215" s="480"/>
      <c r="Y215" s="93"/>
      <c r="Z215" s="348"/>
      <c r="AA215" s="481"/>
      <c r="AB215" s="348"/>
      <c r="AC215" s="348"/>
      <c r="AD215" s="348"/>
      <c r="AE215" s="348"/>
      <c r="AF215" s="392"/>
      <c r="AG215" s="348"/>
      <c r="AH215" s="348"/>
      <c r="AI215" s="1"/>
    </row>
    <row r="216" spans="1:35" s="109" customFormat="1">
      <c r="A216" s="240" t="s">
        <v>854</v>
      </c>
      <c r="B216" s="255" t="s">
        <v>282</v>
      </c>
      <c r="C216" s="102" t="s">
        <v>50</v>
      </c>
      <c r="D216" s="256" t="s">
        <v>1094</v>
      </c>
      <c r="E216" s="406" t="s">
        <v>883</v>
      </c>
      <c r="F216" s="406" t="s">
        <v>883</v>
      </c>
      <c r="G216" s="404" t="s">
        <v>1094</v>
      </c>
      <c r="H216" s="404" t="s">
        <v>1094</v>
      </c>
      <c r="I216" s="404" t="s">
        <v>883</v>
      </c>
      <c r="J216" s="404" t="s">
        <v>1094</v>
      </c>
      <c r="K216" s="248">
        <v>2.3437499999999999E-3</v>
      </c>
      <c r="L216" s="405" t="s">
        <v>883</v>
      </c>
      <c r="M216" s="405" t="s">
        <v>883</v>
      </c>
      <c r="N216" s="405" t="s">
        <v>883</v>
      </c>
      <c r="O216" s="405" t="s">
        <v>883</v>
      </c>
      <c r="P216" s="405" t="s">
        <v>883</v>
      </c>
      <c r="Q216" s="405" t="s">
        <v>883</v>
      </c>
      <c r="R216" s="405" t="s">
        <v>883</v>
      </c>
      <c r="S216" s="405" t="s">
        <v>1094</v>
      </c>
      <c r="T216" s="405" t="s">
        <v>883</v>
      </c>
      <c r="U216" s="405" t="s">
        <v>883</v>
      </c>
      <c r="V216" s="348"/>
      <c r="W216" s="480"/>
      <c r="X216" s="480"/>
      <c r="Y216" s="93"/>
      <c r="Z216" s="348"/>
      <c r="AA216" s="481"/>
      <c r="AB216" s="348"/>
      <c r="AC216" s="348"/>
      <c r="AD216" s="348"/>
      <c r="AE216" s="348"/>
      <c r="AF216" s="392"/>
      <c r="AG216" s="348"/>
      <c r="AH216" s="348"/>
      <c r="AI216" s="1"/>
    </row>
    <row r="217" spans="1:35" s="109" customFormat="1">
      <c r="A217" s="506" t="s">
        <v>854</v>
      </c>
      <c r="B217" s="517" t="s">
        <v>11181</v>
      </c>
      <c r="C217" s="562" t="s">
        <v>1762</v>
      </c>
      <c r="D217" s="514" t="s">
        <v>883</v>
      </c>
      <c r="E217" s="506" t="s">
        <v>883</v>
      </c>
      <c r="F217" s="506" t="s">
        <v>1094</v>
      </c>
      <c r="G217" s="506" t="s">
        <v>883</v>
      </c>
      <c r="H217" s="506" t="s">
        <v>1094</v>
      </c>
      <c r="I217" s="506" t="s">
        <v>883</v>
      </c>
      <c r="J217" s="506" t="s">
        <v>1094</v>
      </c>
      <c r="K217" s="511">
        <v>4.0000000000000001E-3</v>
      </c>
      <c r="L217" s="506" t="s">
        <v>1094</v>
      </c>
      <c r="M217" s="506" t="s">
        <v>1094</v>
      </c>
      <c r="N217" s="506" t="s">
        <v>1094</v>
      </c>
      <c r="O217" s="506" t="s">
        <v>1094</v>
      </c>
      <c r="P217" s="506" t="s">
        <v>1094</v>
      </c>
      <c r="Q217" s="506" t="s">
        <v>1094</v>
      </c>
      <c r="R217" s="506" t="s">
        <v>1094</v>
      </c>
      <c r="S217" s="506" t="s">
        <v>1094</v>
      </c>
      <c r="T217" s="506" t="s">
        <v>1094</v>
      </c>
      <c r="U217" s="506" t="s">
        <v>1094</v>
      </c>
      <c r="V217" s="348"/>
      <c r="W217" s="480"/>
      <c r="X217" s="480"/>
      <c r="Y217" s="93"/>
      <c r="Z217" s="348"/>
      <c r="AA217" s="481"/>
      <c r="AB217" s="348"/>
      <c r="AC217" s="348"/>
      <c r="AD217" s="348"/>
      <c r="AE217" s="348"/>
      <c r="AF217" s="392"/>
      <c r="AG217" s="348"/>
      <c r="AH217" s="348"/>
      <c r="AI217" s="1"/>
    </row>
    <row r="218" spans="1:35" s="109" customFormat="1">
      <c r="A218" s="240" t="s">
        <v>854</v>
      </c>
      <c r="B218" s="247" t="s">
        <v>189</v>
      </c>
      <c r="C218" s="102" t="s">
        <v>90</v>
      </c>
      <c r="D218" s="406" t="s">
        <v>1094</v>
      </c>
      <c r="E218" s="406" t="s">
        <v>883</v>
      </c>
      <c r="F218" s="406" t="s">
        <v>883</v>
      </c>
      <c r="G218" s="404" t="s">
        <v>1094</v>
      </c>
      <c r="H218" s="404" t="s">
        <v>1094</v>
      </c>
      <c r="I218" s="404" t="s">
        <v>883</v>
      </c>
      <c r="J218" s="404" t="s">
        <v>883</v>
      </c>
      <c r="K218" s="248">
        <v>1.25E-3</v>
      </c>
      <c r="L218" s="405" t="s">
        <v>883</v>
      </c>
      <c r="M218" s="405" t="s">
        <v>1094</v>
      </c>
      <c r="N218" s="405" t="s">
        <v>883</v>
      </c>
      <c r="O218" s="405" t="s">
        <v>883</v>
      </c>
      <c r="P218" s="405" t="s">
        <v>883</v>
      </c>
      <c r="Q218" s="405" t="s">
        <v>1094</v>
      </c>
      <c r="R218" s="405" t="s">
        <v>883</v>
      </c>
      <c r="S218" s="405" t="s">
        <v>883</v>
      </c>
      <c r="T218" s="405" t="s">
        <v>883</v>
      </c>
      <c r="U218" s="405" t="s">
        <v>1094</v>
      </c>
      <c r="V218" s="348"/>
      <c r="W218" s="480"/>
      <c r="X218" s="480"/>
      <c r="Y218" s="93"/>
      <c r="Z218" s="348"/>
      <c r="AA218" s="481"/>
      <c r="AB218" s="348"/>
      <c r="AC218" s="348"/>
      <c r="AD218" s="348"/>
      <c r="AE218" s="348"/>
      <c r="AF218" s="392"/>
      <c r="AG218" s="348"/>
      <c r="AH218" s="348"/>
      <c r="AI218" s="1"/>
    </row>
    <row r="219" spans="1:35" s="109" customFormat="1">
      <c r="A219" s="240" t="s">
        <v>854</v>
      </c>
      <c r="B219" s="255" t="s">
        <v>176</v>
      </c>
      <c r="C219" s="102" t="s">
        <v>79</v>
      </c>
      <c r="D219" s="406" t="s">
        <v>883</v>
      </c>
      <c r="E219" s="256" t="s">
        <v>883</v>
      </c>
      <c r="F219" s="256" t="s">
        <v>1094</v>
      </c>
      <c r="G219" s="404" t="s">
        <v>1094</v>
      </c>
      <c r="H219" s="404" t="s">
        <v>883</v>
      </c>
      <c r="I219" s="404" t="s">
        <v>1094</v>
      </c>
      <c r="J219" s="404" t="s">
        <v>883</v>
      </c>
      <c r="K219" s="248">
        <v>4.2857142857142855E-4</v>
      </c>
      <c r="L219" s="405" t="s">
        <v>1094</v>
      </c>
      <c r="M219" s="405" t="s">
        <v>1094</v>
      </c>
      <c r="N219" s="405" t="s">
        <v>1094</v>
      </c>
      <c r="O219" s="405" t="s">
        <v>1094</v>
      </c>
      <c r="P219" s="405" t="s">
        <v>1094</v>
      </c>
      <c r="Q219" s="405" t="s">
        <v>1094</v>
      </c>
      <c r="R219" s="405" t="s">
        <v>1094</v>
      </c>
      <c r="S219" s="405" t="s">
        <v>1094</v>
      </c>
      <c r="T219" s="405" t="s">
        <v>1094</v>
      </c>
      <c r="U219" s="405" t="s">
        <v>1094</v>
      </c>
      <c r="V219" s="348"/>
      <c r="W219" s="480"/>
      <c r="X219" s="480"/>
      <c r="Y219" s="93"/>
      <c r="Z219" s="348"/>
      <c r="AA219" s="481"/>
      <c r="AB219" s="348"/>
      <c r="AC219" s="348"/>
      <c r="AD219" s="348"/>
      <c r="AE219" s="348"/>
      <c r="AF219" s="392"/>
      <c r="AG219" s="348"/>
      <c r="AH219" s="348"/>
      <c r="AI219" s="1"/>
    </row>
    <row r="220" spans="1:35" s="109" customFormat="1">
      <c r="A220" s="240" t="s">
        <v>854</v>
      </c>
      <c r="B220" s="255" t="s">
        <v>186</v>
      </c>
      <c r="C220" s="102" t="s">
        <v>87</v>
      </c>
      <c r="D220" s="406" t="s">
        <v>883</v>
      </c>
      <c r="E220" s="256" t="s">
        <v>1094</v>
      </c>
      <c r="F220" s="256" t="s">
        <v>883</v>
      </c>
      <c r="G220" s="404" t="s">
        <v>883</v>
      </c>
      <c r="H220" s="404" t="s">
        <v>1094</v>
      </c>
      <c r="I220" s="404" t="s">
        <v>883</v>
      </c>
      <c r="J220" s="404" t="s">
        <v>1094</v>
      </c>
      <c r="K220" s="248">
        <v>2E-3</v>
      </c>
      <c r="L220" s="405" t="s">
        <v>1094</v>
      </c>
      <c r="M220" s="405" t="s">
        <v>1094</v>
      </c>
      <c r="N220" s="405" t="s">
        <v>1094</v>
      </c>
      <c r="O220" s="405" t="s">
        <v>1094</v>
      </c>
      <c r="P220" s="405" t="s">
        <v>1094</v>
      </c>
      <c r="Q220" s="405" t="s">
        <v>1094</v>
      </c>
      <c r="R220" s="405" t="s">
        <v>1094</v>
      </c>
      <c r="S220" s="405" t="s">
        <v>1094</v>
      </c>
      <c r="T220" s="405" t="s">
        <v>1094</v>
      </c>
      <c r="U220" s="405" t="s">
        <v>1094</v>
      </c>
      <c r="V220" s="348"/>
      <c r="W220" s="480"/>
      <c r="X220" s="480"/>
      <c r="Y220" s="93"/>
      <c r="Z220" s="348"/>
      <c r="AA220" s="481"/>
      <c r="AB220" s="348"/>
      <c r="AC220" s="348"/>
      <c r="AD220" s="348"/>
      <c r="AE220" s="348"/>
      <c r="AF220" s="392"/>
      <c r="AG220" s="348"/>
      <c r="AH220" s="348"/>
      <c r="AI220" s="1"/>
    </row>
    <row r="221" spans="1:35" s="109" customFormat="1">
      <c r="A221" s="240" t="s">
        <v>854</v>
      </c>
      <c r="B221" s="255" t="s">
        <v>169</v>
      </c>
      <c r="C221" s="102" t="s">
        <v>69</v>
      </c>
      <c r="D221" s="406" t="s">
        <v>883</v>
      </c>
      <c r="E221" s="256" t="s">
        <v>883</v>
      </c>
      <c r="F221" s="256" t="s">
        <v>1094</v>
      </c>
      <c r="G221" s="404" t="s">
        <v>1094</v>
      </c>
      <c r="H221" s="404" t="s">
        <v>883</v>
      </c>
      <c r="I221" s="404" t="s">
        <v>1094</v>
      </c>
      <c r="J221" s="404" t="s">
        <v>883</v>
      </c>
      <c r="K221" s="248">
        <v>4.0000000000000001E-3</v>
      </c>
      <c r="L221" s="405" t="s">
        <v>1094</v>
      </c>
      <c r="M221" s="405" t="s">
        <v>1094</v>
      </c>
      <c r="N221" s="405" t="s">
        <v>1094</v>
      </c>
      <c r="O221" s="405" t="s">
        <v>1094</v>
      </c>
      <c r="P221" s="405" t="s">
        <v>1094</v>
      </c>
      <c r="Q221" s="405" t="s">
        <v>1094</v>
      </c>
      <c r="R221" s="405" t="s">
        <v>1094</v>
      </c>
      <c r="S221" s="405" t="s">
        <v>1094</v>
      </c>
      <c r="T221" s="405" t="s">
        <v>1094</v>
      </c>
      <c r="U221" s="405" t="s">
        <v>1094</v>
      </c>
      <c r="V221" s="348"/>
      <c r="W221" s="480"/>
      <c r="X221" s="480"/>
      <c r="Y221" s="93"/>
      <c r="Z221" s="348"/>
      <c r="AA221" s="481"/>
      <c r="AB221" s="348"/>
      <c r="AC221" s="348"/>
      <c r="AD221" s="348"/>
      <c r="AE221" s="348"/>
      <c r="AF221" s="392"/>
      <c r="AG221" s="348"/>
      <c r="AH221" s="348"/>
      <c r="AI221" s="1"/>
    </row>
    <row r="222" spans="1:35" s="109" customFormat="1">
      <c r="A222" s="240" t="s">
        <v>854</v>
      </c>
      <c r="B222" s="255" t="s">
        <v>163</v>
      </c>
      <c r="C222" s="102" t="s">
        <v>63</v>
      </c>
      <c r="D222" s="406" t="s">
        <v>883</v>
      </c>
      <c r="E222" s="256" t="s">
        <v>883</v>
      </c>
      <c r="F222" s="256" t="s">
        <v>1094</v>
      </c>
      <c r="G222" s="404" t="s">
        <v>1094</v>
      </c>
      <c r="H222" s="404" t="s">
        <v>1094</v>
      </c>
      <c r="I222" s="404" t="s">
        <v>1094</v>
      </c>
      <c r="J222" s="404" t="s">
        <v>883</v>
      </c>
      <c r="K222" s="248">
        <v>4.4117647058823531E-4</v>
      </c>
      <c r="L222" s="405" t="s">
        <v>1094</v>
      </c>
      <c r="M222" s="405" t="s">
        <v>1094</v>
      </c>
      <c r="N222" s="405" t="s">
        <v>1094</v>
      </c>
      <c r="O222" s="405" t="s">
        <v>1094</v>
      </c>
      <c r="P222" s="405" t="s">
        <v>1094</v>
      </c>
      <c r="Q222" s="405" t="s">
        <v>1094</v>
      </c>
      <c r="R222" s="405" t="s">
        <v>1094</v>
      </c>
      <c r="S222" s="405" t="s">
        <v>1094</v>
      </c>
      <c r="T222" s="405" t="s">
        <v>1094</v>
      </c>
      <c r="U222" s="405" t="s">
        <v>1094</v>
      </c>
      <c r="V222" s="348"/>
      <c r="W222" s="480"/>
      <c r="X222" s="480"/>
      <c r="Y222" s="93"/>
      <c r="Z222" s="348"/>
      <c r="AA222" s="481"/>
      <c r="AB222" s="348"/>
      <c r="AC222" s="348"/>
      <c r="AD222" s="348"/>
      <c r="AE222" s="348"/>
      <c r="AF222" s="392"/>
      <c r="AG222" s="348"/>
      <c r="AH222" s="348"/>
      <c r="AI222" s="1"/>
    </row>
    <row r="223" spans="1:35" s="109" customFormat="1">
      <c r="A223" s="240" t="s">
        <v>854</v>
      </c>
      <c r="B223" s="247" t="s">
        <v>216</v>
      </c>
      <c r="C223" s="102" t="s">
        <v>116</v>
      </c>
      <c r="D223" s="407" t="s">
        <v>883</v>
      </c>
      <c r="E223" s="407" t="s">
        <v>883</v>
      </c>
      <c r="F223" s="406" t="s">
        <v>1094</v>
      </c>
      <c r="G223" s="404" t="s">
        <v>883</v>
      </c>
      <c r="H223" s="404" t="s">
        <v>883</v>
      </c>
      <c r="I223" s="404" t="s">
        <v>1094</v>
      </c>
      <c r="J223" s="404" t="s">
        <v>883</v>
      </c>
      <c r="K223" s="248">
        <v>8.1521739130434775E-6</v>
      </c>
      <c r="L223" s="405" t="s">
        <v>883</v>
      </c>
      <c r="M223" s="405" t="s">
        <v>1094</v>
      </c>
      <c r="N223" s="405" t="s">
        <v>883</v>
      </c>
      <c r="O223" s="405" t="s">
        <v>1094</v>
      </c>
      <c r="P223" s="405" t="s">
        <v>1094</v>
      </c>
      <c r="Q223" s="405" t="s">
        <v>883</v>
      </c>
      <c r="R223" s="405" t="s">
        <v>883</v>
      </c>
      <c r="S223" s="405" t="s">
        <v>1094</v>
      </c>
      <c r="T223" s="405" t="s">
        <v>883</v>
      </c>
      <c r="U223" s="405" t="s">
        <v>883</v>
      </c>
      <c r="V223" s="348"/>
      <c r="W223" s="480"/>
      <c r="X223" s="480"/>
      <c r="Y223" s="93"/>
      <c r="Z223" s="348"/>
      <c r="AA223" s="481"/>
      <c r="AB223" s="348"/>
      <c r="AC223" s="348"/>
      <c r="AD223" s="348"/>
      <c r="AE223" s="348"/>
      <c r="AF223" s="392"/>
      <c r="AG223" s="348"/>
      <c r="AH223" s="348"/>
      <c r="AI223" s="1"/>
    </row>
    <row r="224" spans="1:35" s="109" customFormat="1">
      <c r="A224" s="240" t="s">
        <v>854</v>
      </c>
      <c r="B224" s="255" t="s">
        <v>155</v>
      </c>
      <c r="C224" s="102" t="s">
        <v>53</v>
      </c>
      <c r="D224" s="256" t="s">
        <v>1094</v>
      </c>
      <c r="E224" s="256" t="s">
        <v>1094</v>
      </c>
      <c r="F224" s="256" t="s">
        <v>883</v>
      </c>
      <c r="G224" s="404" t="s">
        <v>883</v>
      </c>
      <c r="H224" s="404" t="s">
        <v>1094</v>
      </c>
      <c r="I224" s="404" t="s">
        <v>883</v>
      </c>
      <c r="J224" s="404" t="s">
        <v>1094</v>
      </c>
      <c r="K224" s="248">
        <v>0.01</v>
      </c>
      <c r="L224" s="405" t="s">
        <v>1094</v>
      </c>
      <c r="M224" s="405" t="s">
        <v>1094</v>
      </c>
      <c r="N224" s="405" t="s">
        <v>1094</v>
      </c>
      <c r="O224" s="405" t="s">
        <v>1094</v>
      </c>
      <c r="P224" s="405" t="s">
        <v>1094</v>
      </c>
      <c r="Q224" s="405" t="s">
        <v>1094</v>
      </c>
      <c r="R224" s="405" t="s">
        <v>1094</v>
      </c>
      <c r="S224" s="405" t="s">
        <v>1094</v>
      </c>
      <c r="T224" s="405" t="s">
        <v>1094</v>
      </c>
      <c r="U224" s="405" t="s">
        <v>1094</v>
      </c>
      <c r="V224" s="348"/>
      <c r="W224" s="480"/>
      <c r="X224" s="480"/>
      <c r="Y224" s="93"/>
      <c r="Z224" s="348"/>
      <c r="AA224" s="481"/>
      <c r="AB224" s="348"/>
      <c r="AC224" s="348"/>
      <c r="AD224" s="348"/>
      <c r="AE224" s="348"/>
      <c r="AF224" s="392"/>
      <c r="AG224" s="348"/>
      <c r="AH224" s="348"/>
      <c r="AI224" s="1"/>
    </row>
    <row r="225" spans="1:35" s="109" customFormat="1">
      <c r="A225" s="240" t="s">
        <v>854</v>
      </c>
      <c r="B225" s="255" t="s">
        <v>201</v>
      </c>
      <c r="C225" s="102" t="s">
        <v>103</v>
      </c>
      <c r="D225" s="256" t="s">
        <v>1094</v>
      </c>
      <c r="E225" s="406" t="s">
        <v>883</v>
      </c>
      <c r="F225" s="406" t="s">
        <v>883</v>
      </c>
      <c r="G225" s="404" t="s">
        <v>1094</v>
      </c>
      <c r="H225" s="404" t="s">
        <v>883</v>
      </c>
      <c r="I225" s="404" t="s">
        <v>883</v>
      </c>
      <c r="J225" s="404" t="s">
        <v>883</v>
      </c>
      <c r="K225" s="248">
        <v>6.6666666666666664E-4</v>
      </c>
      <c r="L225" s="405" t="s">
        <v>883</v>
      </c>
      <c r="M225" s="405" t="s">
        <v>1094</v>
      </c>
      <c r="N225" s="405" t="s">
        <v>883</v>
      </c>
      <c r="O225" s="405" t="s">
        <v>1094</v>
      </c>
      <c r="P225" s="405" t="s">
        <v>1094</v>
      </c>
      <c r="Q225" s="405" t="s">
        <v>1094</v>
      </c>
      <c r="R225" s="405" t="s">
        <v>883</v>
      </c>
      <c r="S225" s="405" t="s">
        <v>883</v>
      </c>
      <c r="T225" s="405" t="s">
        <v>1094</v>
      </c>
      <c r="U225" s="405" t="s">
        <v>1094</v>
      </c>
      <c r="V225" s="348"/>
      <c r="W225" s="480"/>
      <c r="X225" s="480"/>
      <c r="Y225" s="93"/>
      <c r="Z225" s="348"/>
      <c r="AA225" s="481"/>
      <c r="AB225" s="348"/>
      <c r="AC225" s="348"/>
      <c r="AD225" s="348"/>
      <c r="AE225" s="348"/>
      <c r="AF225" s="392"/>
      <c r="AG225" s="348"/>
      <c r="AH225" s="348"/>
      <c r="AI225" s="1"/>
    </row>
    <row r="226" spans="1:35" s="109" customFormat="1">
      <c r="A226" s="240" t="s">
        <v>854</v>
      </c>
      <c r="B226" s="255" t="s">
        <v>190</v>
      </c>
      <c r="C226" s="102" t="s">
        <v>1086</v>
      </c>
      <c r="D226" s="256" t="s">
        <v>1094</v>
      </c>
      <c r="E226" s="406" t="s">
        <v>883</v>
      </c>
      <c r="F226" s="406" t="s">
        <v>883</v>
      </c>
      <c r="G226" s="404" t="s">
        <v>1094</v>
      </c>
      <c r="H226" s="404" t="s">
        <v>1094</v>
      </c>
      <c r="I226" s="404" t="s">
        <v>883</v>
      </c>
      <c r="J226" s="404" t="s">
        <v>883</v>
      </c>
      <c r="K226" s="248">
        <v>1.1029411764705883E-2</v>
      </c>
      <c r="L226" s="405" t="s">
        <v>1094</v>
      </c>
      <c r="M226" s="405" t="s">
        <v>1094</v>
      </c>
      <c r="N226" s="405" t="s">
        <v>1094</v>
      </c>
      <c r="O226" s="405" t="s">
        <v>1094</v>
      </c>
      <c r="P226" s="405" t="s">
        <v>1094</v>
      </c>
      <c r="Q226" s="405" t="s">
        <v>1094</v>
      </c>
      <c r="R226" s="405" t="s">
        <v>1094</v>
      </c>
      <c r="S226" s="405" t="s">
        <v>1094</v>
      </c>
      <c r="T226" s="405" t="s">
        <v>1094</v>
      </c>
      <c r="U226" s="405" t="s">
        <v>1094</v>
      </c>
      <c r="V226" s="348"/>
      <c r="W226" s="480"/>
      <c r="X226" s="480"/>
      <c r="Y226" s="93"/>
      <c r="Z226" s="348"/>
      <c r="AA226" s="481"/>
      <c r="AB226" s="348"/>
      <c r="AC226" s="348"/>
      <c r="AD226" s="348"/>
      <c r="AE226" s="348"/>
      <c r="AF226" s="392"/>
      <c r="AG226" s="348"/>
      <c r="AH226" s="348"/>
      <c r="AI226" s="1"/>
    </row>
    <row r="227" spans="1:35" s="109" customFormat="1">
      <c r="A227" s="240" t="s">
        <v>854</v>
      </c>
      <c r="B227" s="255" t="s">
        <v>173</v>
      </c>
      <c r="C227" s="102" t="s">
        <v>74</v>
      </c>
      <c r="D227" s="256" t="s">
        <v>1094</v>
      </c>
      <c r="E227" s="406" t="s">
        <v>883</v>
      </c>
      <c r="F227" s="406" t="s">
        <v>883</v>
      </c>
      <c r="G227" s="404" t="s">
        <v>883</v>
      </c>
      <c r="H227" s="404" t="s">
        <v>1094</v>
      </c>
      <c r="I227" s="404" t="s">
        <v>883</v>
      </c>
      <c r="J227" s="404" t="s">
        <v>1094</v>
      </c>
      <c r="K227" s="248">
        <v>2.9999999999999997E-4</v>
      </c>
      <c r="L227" s="405" t="s">
        <v>1094</v>
      </c>
      <c r="M227" s="405" t="s">
        <v>1094</v>
      </c>
      <c r="N227" s="405" t="s">
        <v>1094</v>
      </c>
      <c r="O227" s="405" t="s">
        <v>1094</v>
      </c>
      <c r="P227" s="405" t="s">
        <v>1094</v>
      </c>
      <c r="Q227" s="405" t="s">
        <v>1094</v>
      </c>
      <c r="R227" s="405" t="s">
        <v>1094</v>
      </c>
      <c r="S227" s="405" t="s">
        <v>1094</v>
      </c>
      <c r="T227" s="405" t="s">
        <v>1094</v>
      </c>
      <c r="U227" s="405" t="s">
        <v>1094</v>
      </c>
      <c r="V227" s="348"/>
      <c r="W227" s="480"/>
      <c r="X227" s="480"/>
      <c r="Y227" s="93"/>
      <c r="Z227" s="348"/>
      <c r="AA227" s="481"/>
      <c r="AB227" s="348"/>
      <c r="AC227" s="348"/>
      <c r="AD227" s="348"/>
      <c r="AE227" s="348"/>
      <c r="AF227" s="392"/>
      <c r="AG227" s="348"/>
      <c r="AH227" s="348"/>
      <c r="AI227" s="1"/>
    </row>
    <row r="228" spans="1:35" s="109" customFormat="1">
      <c r="A228" s="240" t="s">
        <v>854</v>
      </c>
      <c r="B228" s="255" t="s">
        <v>198</v>
      </c>
      <c r="C228" s="102" t="s">
        <v>100</v>
      </c>
      <c r="D228" s="406" t="s">
        <v>883</v>
      </c>
      <c r="E228" s="256" t="s">
        <v>1094</v>
      </c>
      <c r="F228" s="256" t="s">
        <v>1094</v>
      </c>
      <c r="G228" s="404" t="s">
        <v>1094</v>
      </c>
      <c r="H228" s="404" t="s">
        <v>1094</v>
      </c>
      <c r="I228" s="404" t="s">
        <v>883</v>
      </c>
      <c r="J228" s="404" t="s">
        <v>1094</v>
      </c>
      <c r="K228" s="248">
        <v>1.8749999999999998E-5</v>
      </c>
      <c r="L228" s="405" t="s">
        <v>1094</v>
      </c>
      <c r="M228" s="405" t="s">
        <v>1094</v>
      </c>
      <c r="N228" s="405" t="s">
        <v>1094</v>
      </c>
      <c r="O228" s="405" t="s">
        <v>1094</v>
      </c>
      <c r="P228" s="405" t="s">
        <v>1094</v>
      </c>
      <c r="Q228" s="405" t="s">
        <v>1094</v>
      </c>
      <c r="R228" s="405" t="s">
        <v>1094</v>
      </c>
      <c r="S228" s="405" t="s">
        <v>1094</v>
      </c>
      <c r="T228" s="405" t="s">
        <v>1094</v>
      </c>
      <c r="U228" s="405" t="s">
        <v>1094</v>
      </c>
      <c r="V228" s="348"/>
      <c r="W228" s="480"/>
      <c r="X228" s="480"/>
      <c r="Y228" s="93"/>
      <c r="Z228" s="348"/>
      <c r="AA228" s="481"/>
      <c r="AB228" s="348"/>
      <c r="AC228" s="348"/>
      <c r="AD228" s="348"/>
      <c r="AE228" s="348"/>
      <c r="AF228" s="392"/>
      <c r="AG228" s="348"/>
      <c r="AH228" s="348"/>
      <c r="AI228" s="1"/>
    </row>
    <row r="229" spans="1:35" s="109" customFormat="1">
      <c r="A229" s="240" t="s">
        <v>854</v>
      </c>
      <c r="B229" s="255" t="s">
        <v>217</v>
      </c>
      <c r="C229" s="102" t="s">
        <v>874</v>
      </c>
      <c r="D229" s="406" t="s">
        <v>883</v>
      </c>
      <c r="E229" s="256" t="s">
        <v>883</v>
      </c>
      <c r="F229" s="256" t="s">
        <v>1094</v>
      </c>
      <c r="G229" s="404" t="s">
        <v>1094</v>
      </c>
      <c r="H229" s="404" t="s">
        <v>1094</v>
      </c>
      <c r="I229" s="404" t="s">
        <v>1094</v>
      </c>
      <c r="J229" s="404" t="s">
        <v>883</v>
      </c>
      <c r="K229" s="248">
        <v>8.5227272727272723E-4</v>
      </c>
      <c r="L229" s="405" t="s">
        <v>1094</v>
      </c>
      <c r="M229" s="405" t="s">
        <v>1094</v>
      </c>
      <c r="N229" s="405" t="s">
        <v>1094</v>
      </c>
      <c r="O229" s="405" t="s">
        <v>1094</v>
      </c>
      <c r="P229" s="405" t="s">
        <v>1094</v>
      </c>
      <c r="Q229" s="405" t="s">
        <v>1094</v>
      </c>
      <c r="R229" s="405" t="s">
        <v>1094</v>
      </c>
      <c r="S229" s="405" t="s">
        <v>1094</v>
      </c>
      <c r="T229" s="405" t="s">
        <v>1094</v>
      </c>
      <c r="U229" s="405" t="s">
        <v>1094</v>
      </c>
      <c r="V229" s="348"/>
      <c r="W229" s="480"/>
      <c r="X229" s="480"/>
      <c r="Y229" s="93"/>
      <c r="Z229" s="348"/>
      <c r="AA229" s="481"/>
      <c r="AB229" s="348"/>
      <c r="AC229" s="348"/>
      <c r="AD229" s="348"/>
      <c r="AE229" s="348"/>
      <c r="AF229" s="392"/>
      <c r="AG229" s="348"/>
      <c r="AH229" s="348"/>
      <c r="AI229" s="1"/>
    </row>
    <row r="230" spans="1:35" s="109" customFormat="1">
      <c r="A230" s="240" t="s">
        <v>854</v>
      </c>
      <c r="B230" s="255" t="s">
        <v>220</v>
      </c>
      <c r="C230" s="102" t="s">
        <v>869</v>
      </c>
      <c r="D230" s="256" t="s">
        <v>1094</v>
      </c>
      <c r="E230" s="406" t="s">
        <v>1094</v>
      </c>
      <c r="F230" s="406" t="s">
        <v>883</v>
      </c>
      <c r="G230" s="404" t="s">
        <v>1094</v>
      </c>
      <c r="H230" s="404" t="s">
        <v>1094</v>
      </c>
      <c r="I230" s="404" t="s">
        <v>883</v>
      </c>
      <c r="J230" s="404" t="s">
        <v>883</v>
      </c>
      <c r="K230" s="248">
        <v>7.0312499999999997E-4</v>
      </c>
      <c r="L230" s="405" t="s">
        <v>1094</v>
      </c>
      <c r="M230" s="405" t="s">
        <v>1094</v>
      </c>
      <c r="N230" s="405" t="s">
        <v>1094</v>
      </c>
      <c r="O230" s="405" t="s">
        <v>1094</v>
      </c>
      <c r="P230" s="405" t="s">
        <v>1094</v>
      </c>
      <c r="Q230" s="405" t="s">
        <v>1094</v>
      </c>
      <c r="R230" s="405" t="s">
        <v>1094</v>
      </c>
      <c r="S230" s="405" t="s">
        <v>1094</v>
      </c>
      <c r="T230" s="405" t="s">
        <v>1094</v>
      </c>
      <c r="U230" s="405" t="s">
        <v>1094</v>
      </c>
      <c r="V230" s="348"/>
      <c r="W230" s="480"/>
      <c r="X230" s="480"/>
      <c r="Y230" s="93"/>
      <c r="Z230" s="348"/>
      <c r="AA230" s="481"/>
      <c r="AB230" s="348"/>
      <c r="AC230" s="348"/>
      <c r="AD230" s="348"/>
      <c r="AE230" s="348"/>
      <c r="AF230" s="392"/>
      <c r="AG230" s="348"/>
      <c r="AH230" s="348"/>
      <c r="AI230" s="1"/>
    </row>
    <row r="231" spans="1:35" s="109" customFormat="1">
      <c r="A231" s="240" t="s">
        <v>854</v>
      </c>
      <c r="B231" s="255" t="s">
        <v>199</v>
      </c>
      <c r="C231" s="102" t="s">
        <v>1071</v>
      </c>
      <c r="D231" s="256" t="s">
        <v>1094</v>
      </c>
      <c r="E231" s="256" t="s">
        <v>1094</v>
      </c>
      <c r="F231" s="406" t="s">
        <v>883</v>
      </c>
      <c r="G231" s="404" t="s">
        <v>1094</v>
      </c>
      <c r="H231" s="404" t="s">
        <v>1094</v>
      </c>
      <c r="I231" s="404" t="s">
        <v>883</v>
      </c>
      <c r="J231" s="404" t="s">
        <v>883</v>
      </c>
      <c r="K231" s="248">
        <v>2.34375E-5</v>
      </c>
      <c r="L231" s="405" t="s">
        <v>1094</v>
      </c>
      <c r="M231" s="405" t="s">
        <v>1094</v>
      </c>
      <c r="N231" s="405" t="s">
        <v>1094</v>
      </c>
      <c r="O231" s="405" t="s">
        <v>1094</v>
      </c>
      <c r="P231" s="405" t="s">
        <v>1094</v>
      </c>
      <c r="Q231" s="405" t="s">
        <v>1094</v>
      </c>
      <c r="R231" s="405" t="s">
        <v>1094</v>
      </c>
      <c r="S231" s="405" t="s">
        <v>1094</v>
      </c>
      <c r="T231" s="405" t="s">
        <v>1094</v>
      </c>
      <c r="U231" s="405" t="s">
        <v>1094</v>
      </c>
      <c r="V231" s="348"/>
      <c r="W231" s="480"/>
      <c r="X231" s="480"/>
      <c r="Y231" s="93"/>
      <c r="Z231" s="348"/>
      <c r="AA231" s="481"/>
      <c r="AB231" s="348"/>
      <c r="AC231" s="348"/>
      <c r="AD231" s="348"/>
      <c r="AE231" s="348"/>
      <c r="AF231" s="392"/>
      <c r="AG231" s="348"/>
      <c r="AH231" s="348"/>
      <c r="AI231" s="1"/>
    </row>
    <row r="232" spans="1:35" s="109" customFormat="1">
      <c r="A232" s="240" t="s">
        <v>854</v>
      </c>
      <c r="B232" s="255" t="s">
        <v>128</v>
      </c>
      <c r="C232" s="102" t="s">
        <v>24</v>
      </c>
      <c r="D232" s="256" t="s">
        <v>1094</v>
      </c>
      <c r="E232" s="406" t="s">
        <v>883</v>
      </c>
      <c r="F232" s="406" t="s">
        <v>883</v>
      </c>
      <c r="G232" s="404" t="s">
        <v>1094</v>
      </c>
      <c r="H232" s="404" t="s">
        <v>1094</v>
      </c>
      <c r="I232" s="404" t="s">
        <v>883</v>
      </c>
      <c r="J232" s="404" t="s">
        <v>883</v>
      </c>
      <c r="K232" s="248">
        <v>1.4598540145985401E-3</v>
      </c>
      <c r="L232" s="405" t="s">
        <v>1094</v>
      </c>
      <c r="M232" s="405" t="s">
        <v>1094</v>
      </c>
      <c r="N232" s="405" t="s">
        <v>1094</v>
      </c>
      <c r="O232" s="405" t="s">
        <v>1094</v>
      </c>
      <c r="P232" s="405" t="s">
        <v>1094</v>
      </c>
      <c r="Q232" s="405" t="s">
        <v>1094</v>
      </c>
      <c r="R232" s="405" t="s">
        <v>1094</v>
      </c>
      <c r="S232" s="405" t="s">
        <v>1094</v>
      </c>
      <c r="T232" s="405" t="s">
        <v>1094</v>
      </c>
      <c r="U232" s="405" t="s">
        <v>1094</v>
      </c>
      <c r="V232" s="348"/>
      <c r="W232" s="480"/>
      <c r="X232" s="480"/>
      <c r="Y232" s="93"/>
      <c r="Z232" s="348"/>
      <c r="AA232" s="481"/>
      <c r="AB232" s="348"/>
      <c r="AC232" s="348"/>
      <c r="AD232" s="348"/>
      <c r="AE232" s="348"/>
      <c r="AF232" s="392"/>
      <c r="AG232" s="348"/>
      <c r="AH232" s="348"/>
      <c r="AI232" s="1"/>
    </row>
    <row r="233" spans="1:35" s="109" customFormat="1">
      <c r="A233" s="240" t="s">
        <v>854</v>
      </c>
      <c r="B233" s="255" t="s">
        <v>156</v>
      </c>
      <c r="C233" s="102" t="s">
        <v>54</v>
      </c>
      <c r="D233" s="406" t="s">
        <v>883</v>
      </c>
      <c r="E233" s="406" t="s">
        <v>883</v>
      </c>
      <c r="F233" s="256" t="s">
        <v>1094</v>
      </c>
      <c r="G233" s="404" t="s">
        <v>1094</v>
      </c>
      <c r="H233" s="404" t="s">
        <v>883</v>
      </c>
      <c r="I233" s="404" t="s">
        <v>1094</v>
      </c>
      <c r="J233" s="404" t="s">
        <v>883</v>
      </c>
      <c r="K233" s="248">
        <v>1.4285714285714287E-4</v>
      </c>
      <c r="L233" s="405" t="s">
        <v>883</v>
      </c>
      <c r="M233" s="405" t="s">
        <v>1094</v>
      </c>
      <c r="N233" s="405" t="s">
        <v>1094</v>
      </c>
      <c r="O233" s="405" t="s">
        <v>883</v>
      </c>
      <c r="P233" s="405" t="s">
        <v>1094</v>
      </c>
      <c r="Q233" s="405" t="s">
        <v>1094</v>
      </c>
      <c r="R233" s="405" t="s">
        <v>883</v>
      </c>
      <c r="S233" s="405" t="s">
        <v>1094</v>
      </c>
      <c r="T233" s="405" t="s">
        <v>883</v>
      </c>
      <c r="U233" s="405" t="s">
        <v>883</v>
      </c>
      <c r="V233" s="348"/>
      <c r="W233" s="480"/>
      <c r="X233" s="480"/>
      <c r="Y233" s="93"/>
      <c r="Z233" s="348"/>
      <c r="AA233" s="481"/>
      <c r="AB233" s="348"/>
      <c r="AC233" s="348"/>
      <c r="AD233" s="348"/>
      <c r="AE233" s="348"/>
      <c r="AF233" s="392"/>
      <c r="AG233" s="348"/>
      <c r="AH233" s="348"/>
      <c r="AI233" s="1"/>
    </row>
    <row r="234" spans="1:35" s="109" customFormat="1">
      <c r="A234" s="240" t="s">
        <v>854</v>
      </c>
      <c r="B234" s="255" t="s">
        <v>185</v>
      </c>
      <c r="C234" s="102" t="s">
        <v>86</v>
      </c>
      <c r="D234" s="256" t="s">
        <v>1094</v>
      </c>
      <c r="E234" s="407" t="s">
        <v>883</v>
      </c>
      <c r="F234" s="406" t="s">
        <v>883</v>
      </c>
      <c r="G234" s="404" t="s">
        <v>1094</v>
      </c>
      <c r="H234" s="404" t="s">
        <v>1094</v>
      </c>
      <c r="I234" s="404" t="s">
        <v>883</v>
      </c>
      <c r="J234" s="404" t="s">
        <v>883</v>
      </c>
      <c r="K234" s="248">
        <v>1.7857142857142857E-4</v>
      </c>
      <c r="L234" s="405" t="s">
        <v>1094</v>
      </c>
      <c r="M234" s="405" t="s">
        <v>1094</v>
      </c>
      <c r="N234" s="405" t="s">
        <v>1094</v>
      </c>
      <c r="O234" s="405" t="s">
        <v>1094</v>
      </c>
      <c r="P234" s="405" t="s">
        <v>1094</v>
      </c>
      <c r="Q234" s="405" t="s">
        <v>1094</v>
      </c>
      <c r="R234" s="405" t="s">
        <v>1094</v>
      </c>
      <c r="S234" s="405" t="s">
        <v>1094</v>
      </c>
      <c r="T234" s="405" t="s">
        <v>1094</v>
      </c>
      <c r="U234" s="405" t="s">
        <v>1094</v>
      </c>
      <c r="V234" s="348"/>
      <c r="W234" s="480"/>
      <c r="X234" s="480"/>
      <c r="Y234" s="93"/>
      <c r="Z234" s="348"/>
      <c r="AA234" s="481"/>
      <c r="AB234" s="348"/>
      <c r="AC234" s="348"/>
      <c r="AD234" s="348"/>
      <c r="AE234" s="348"/>
      <c r="AF234" s="392"/>
      <c r="AG234" s="348"/>
      <c r="AH234" s="348"/>
      <c r="AI234" s="1"/>
    </row>
    <row r="235" spans="1:35" s="109" customFormat="1">
      <c r="A235" s="240" t="s">
        <v>854</v>
      </c>
      <c r="B235" s="255" t="s">
        <v>221</v>
      </c>
      <c r="C235" s="102" t="s">
        <v>118</v>
      </c>
      <c r="D235" s="256" t="s">
        <v>1094</v>
      </c>
      <c r="E235" s="406" t="s">
        <v>883</v>
      </c>
      <c r="F235" s="406" t="s">
        <v>883</v>
      </c>
      <c r="G235" s="404" t="s">
        <v>1094</v>
      </c>
      <c r="H235" s="404" t="s">
        <v>1094</v>
      </c>
      <c r="I235" s="404" t="s">
        <v>883</v>
      </c>
      <c r="J235" s="404" t="s">
        <v>883</v>
      </c>
      <c r="K235" s="248">
        <v>4.8076923076923077E-5</v>
      </c>
      <c r="L235" s="405" t="s">
        <v>883</v>
      </c>
      <c r="M235" s="405" t="s">
        <v>1094</v>
      </c>
      <c r="N235" s="405" t="s">
        <v>883</v>
      </c>
      <c r="O235" s="405" t="s">
        <v>883</v>
      </c>
      <c r="P235" s="405" t="s">
        <v>883</v>
      </c>
      <c r="Q235" s="405" t="s">
        <v>883</v>
      </c>
      <c r="R235" s="405" t="s">
        <v>1094</v>
      </c>
      <c r="S235" s="405" t="s">
        <v>1094</v>
      </c>
      <c r="T235" s="405" t="s">
        <v>1094</v>
      </c>
      <c r="U235" s="405" t="s">
        <v>883</v>
      </c>
      <c r="V235" s="348"/>
      <c r="W235" s="480"/>
      <c r="X235" s="480"/>
      <c r="Y235" s="93"/>
      <c r="Z235" s="348"/>
      <c r="AA235" s="481"/>
      <c r="AB235" s="348"/>
      <c r="AC235" s="348"/>
      <c r="AD235" s="348"/>
      <c r="AE235" s="348"/>
      <c r="AF235" s="392"/>
      <c r="AG235" s="348"/>
      <c r="AH235" s="348"/>
      <c r="AI235" s="1"/>
    </row>
    <row r="236" spans="1:35" s="109" customFormat="1">
      <c r="A236" s="240" t="s">
        <v>854</v>
      </c>
      <c r="B236" s="255" t="s">
        <v>165</v>
      </c>
      <c r="C236" s="102" t="s">
        <v>64</v>
      </c>
      <c r="D236" s="256" t="s">
        <v>883</v>
      </c>
      <c r="E236" s="256" t="s">
        <v>1094</v>
      </c>
      <c r="F236" s="406" t="s">
        <v>883</v>
      </c>
      <c r="G236" s="404" t="s">
        <v>883</v>
      </c>
      <c r="H236" s="404" t="s">
        <v>1094</v>
      </c>
      <c r="I236" s="404" t="s">
        <v>883</v>
      </c>
      <c r="J236" s="404" t="s">
        <v>1094</v>
      </c>
      <c r="K236" s="248">
        <v>2E-3</v>
      </c>
      <c r="L236" s="405" t="s">
        <v>883</v>
      </c>
      <c r="M236" s="405" t="s">
        <v>1094</v>
      </c>
      <c r="N236" s="405" t="s">
        <v>883</v>
      </c>
      <c r="O236" s="405" t="s">
        <v>1094</v>
      </c>
      <c r="P236" s="405" t="s">
        <v>1094</v>
      </c>
      <c r="Q236" s="405" t="s">
        <v>1094</v>
      </c>
      <c r="R236" s="405" t="s">
        <v>1094</v>
      </c>
      <c r="S236" s="405" t="s">
        <v>883</v>
      </c>
      <c r="T236" s="405" t="s">
        <v>1094</v>
      </c>
      <c r="U236" s="405" t="s">
        <v>1094</v>
      </c>
      <c r="V236" s="348"/>
      <c r="W236" s="480"/>
      <c r="X236" s="480"/>
      <c r="Y236" s="93"/>
      <c r="Z236" s="348"/>
      <c r="AA236" s="481"/>
      <c r="AB236" s="348"/>
      <c r="AC236" s="348"/>
      <c r="AD236" s="348"/>
      <c r="AE236" s="348"/>
      <c r="AF236" s="392"/>
      <c r="AG236" s="348"/>
      <c r="AH236" s="348"/>
      <c r="AI236" s="1"/>
    </row>
    <row r="237" spans="1:35" s="109" customFormat="1">
      <c r="A237" s="240" t="s">
        <v>854</v>
      </c>
      <c r="B237" s="255" t="s">
        <v>136</v>
      </c>
      <c r="C237" s="102" t="s">
        <v>34</v>
      </c>
      <c r="D237" s="406" t="s">
        <v>883</v>
      </c>
      <c r="E237" s="256" t="s">
        <v>883</v>
      </c>
      <c r="F237" s="256" t="s">
        <v>1094</v>
      </c>
      <c r="G237" s="404" t="s">
        <v>883</v>
      </c>
      <c r="H237" s="404" t="s">
        <v>1094</v>
      </c>
      <c r="I237" s="404" t="s">
        <v>1094</v>
      </c>
      <c r="J237" s="404" t="s">
        <v>1094</v>
      </c>
      <c r="K237" s="248">
        <v>1.9230769230769232E-3</v>
      </c>
      <c r="L237" s="405" t="s">
        <v>883</v>
      </c>
      <c r="M237" s="405" t="s">
        <v>1094</v>
      </c>
      <c r="N237" s="405" t="s">
        <v>883</v>
      </c>
      <c r="O237" s="405" t="s">
        <v>883</v>
      </c>
      <c r="P237" s="405" t="s">
        <v>883</v>
      </c>
      <c r="Q237" s="405" t="s">
        <v>1094</v>
      </c>
      <c r="R237" s="405" t="s">
        <v>1094</v>
      </c>
      <c r="S237" s="405" t="s">
        <v>1094</v>
      </c>
      <c r="T237" s="405" t="s">
        <v>1094</v>
      </c>
      <c r="U237" s="405" t="s">
        <v>883</v>
      </c>
      <c r="V237" s="348"/>
      <c r="W237" s="480"/>
      <c r="X237" s="480"/>
      <c r="Y237" s="93"/>
      <c r="Z237" s="348"/>
      <c r="AA237" s="481"/>
      <c r="AB237" s="348"/>
      <c r="AC237" s="348"/>
      <c r="AD237" s="348"/>
      <c r="AE237" s="348"/>
      <c r="AF237" s="392"/>
      <c r="AG237" s="348"/>
      <c r="AH237" s="348"/>
      <c r="AI237" s="1"/>
    </row>
    <row r="238" spans="1:35" s="109" customFormat="1">
      <c r="A238" s="240" t="s">
        <v>854</v>
      </c>
      <c r="B238" s="255" t="s">
        <v>200</v>
      </c>
      <c r="C238" s="102" t="s">
        <v>102</v>
      </c>
      <c r="D238" s="406" t="s">
        <v>883</v>
      </c>
      <c r="E238" s="256" t="s">
        <v>883</v>
      </c>
      <c r="F238" s="256" t="s">
        <v>1094</v>
      </c>
      <c r="G238" s="404" t="s">
        <v>1094</v>
      </c>
      <c r="H238" s="404" t="s">
        <v>1094</v>
      </c>
      <c r="I238" s="404" t="s">
        <v>1094</v>
      </c>
      <c r="J238" s="404" t="s">
        <v>1094</v>
      </c>
      <c r="K238" s="248">
        <v>4.4117647058823531E-4</v>
      </c>
      <c r="L238" s="405" t="s">
        <v>1094</v>
      </c>
      <c r="M238" s="405" t="s">
        <v>1094</v>
      </c>
      <c r="N238" s="405" t="s">
        <v>1094</v>
      </c>
      <c r="O238" s="405" t="s">
        <v>1094</v>
      </c>
      <c r="P238" s="405" t="s">
        <v>1094</v>
      </c>
      <c r="Q238" s="405" t="s">
        <v>1094</v>
      </c>
      <c r="R238" s="405" t="s">
        <v>1094</v>
      </c>
      <c r="S238" s="405" t="s">
        <v>1094</v>
      </c>
      <c r="T238" s="405" t="s">
        <v>1094</v>
      </c>
      <c r="U238" s="405" t="s">
        <v>1094</v>
      </c>
      <c r="V238" s="348"/>
      <c r="W238" s="480"/>
      <c r="X238" s="480"/>
      <c r="Y238" s="93"/>
      <c r="Z238" s="348"/>
      <c r="AA238" s="481"/>
      <c r="AB238" s="348"/>
      <c r="AC238" s="348"/>
      <c r="AD238" s="348"/>
      <c r="AE238" s="348"/>
      <c r="AF238" s="392"/>
      <c r="AG238" s="348"/>
      <c r="AH238" s="348"/>
      <c r="AI238" s="1"/>
    </row>
    <row r="239" spans="1:35" s="109" customFormat="1">
      <c r="A239" s="240" t="s">
        <v>854</v>
      </c>
      <c r="B239" s="255" t="s">
        <v>211</v>
      </c>
      <c r="C239" s="102" t="s">
        <v>112</v>
      </c>
      <c r="D239" s="406" t="s">
        <v>883</v>
      </c>
      <c r="E239" s="406" t="s">
        <v>883</v>
      </c>
      <c r="F239" s="256" t="s">
        <v>1094</v>
      </c>
      <c r="G239" s="404" t="s">
        <v>883</v>
      </c>
      <c r="H239" s="404" t="s">
        <v>883</v>
      </c>
      <c r="I239" s="404" t="s">
        <v>1094</v>
      </c>
      <c r="J239" s="404" t="s">
        <v>883</v>
      </c>
      <c r="K239" s="248">
        <v>1.3081395348837209E-3</v>
      </c>
      <c r="L239" s="405" t="s">
        <v>1094</v>
      </c>
      <c r="M239" s="405" t="s">
        <v>1094</v>
      </c>
      <c r="N239" s="405" t="s">
        <v>1094</v>
      </c>
      <c r="O239" s="405" t="s">
        <v>1094</v>
      </c>
      <c r="P239" s="405" t="s">
        <v>1094</v>
      </c>
      <c r="Q239" s="405" t="s">
        <v>1094</v>
      </c>
      <c r="R239" s="405" t="s">
        <v>1094</v>
      </c>
      <c r="S239" s="405" t="s">
        <v>1094</v>
      </c>
      <c r="T239" s="405" t="s">
        <v>1094</v>
      </c>
      <c r="U239" s="405" t="s">
        <v>1094</v>
      </c>
      <c r="V239" s="348"/>
      <c r="W239" s="480"/>
      <c r="X239" s="480"/>
      <c r="Y239" s="93"/>
      <c r="Z239" s="348"/>
      <c r="AA239" s="481"/>
      <c r="AB239" s="348"/>
      <c r="AC239" s="348"/>
      <c r="AD239" s="348"/>
      <c r="AE239" s="348"/>
      <c r="AF239" s="392"/>
      <c r="AG239" s="348"/>
      <c r="AH239" s="348"/>
      <c r="AI239" s="1"/>
    </row>
    <row r="240" spans="1:35" s="109" customFormat="1">
      <c r="A240" s="240" t="s">
        <v>854</v>
      </c>
      <c r="B240" s="255" t="s">
        <v>181</v>
      </c>
      <c r="C240" s="102" t="s">
        <v>83</v>
      </c>
      <c r="D240" s="406" t="s">
        <v>883</v>
      </c>
      <c r="E240" s="256" t="s">
        <v>1094</v>
      </c>
      <c r="F240" s="406" t="s">
        <v>883</v>
      </c>
      <c r="G240" s="404" t="s">
        <v>883</v>
      </c>
      <c r="H240" s="404" t="s">
        <v>1094</v>
      </c>
      <c r="I240" s="404" t="s">
        <v>883</v>
      </c>
      <c r="J240" s="404" t="s">
        <v>1094</v>
      </c>
      <c r="K240" s="248">
        <v>3.2327586206896551E-3</v>
      </c>
      <c r="L240" s="405" t="s">
        <v>883</v>
      </c>
      <c r="M240" s="405" t="s">
        <v>1094</v>
      </c>
      <c r="N240" s="405" t="s">
        <v>883</v>
      </c>
      <c r="O240" s="405" t="s">
        <v>883</v>
      </c>
      <c r="P240" s="405" t="s">
        <v>1094</v>
      </c>
      <c r="Q240" s="405" t="s">
        <v>883</v>
      </c>
      <c r="R240" s="405" t="s">
        <v>883</v>
      </c>
      <c r="S240" s="405" t="s">
        <v>883</v>
      </c>
      <c r="T240" s="405" t="s">
        <v>883</v>
      </c>
      <c r="U240" s="405" t="s">
        <v>883</v>
      </c>
      <c r="V240" s="348"/>
      <c r="W240" s="480"/>
      <c r="X240" s="480"/>
      <c r="Y240" s="93"/>
      <c r="Z240" s="348"/>
      <c r="AA240" s="481"/>
      <c r="AB240" s="348"/>
      <c r="AC240" s="348"/>
      <c r="AD240" s="348"/>
      <c r="AE240" s="348"/>
      <c r="AF240" s="392"/>
      <c r="AG240" s="348"/>
      <c r="AH240" s="348"/>
      <c r="AI240" s="1"/>
    </row>
    <row r="241" spans="1:35" s="109" customFormat="1">
      <c r="A241" s="240" t="s">
        <v>854</v>
      </c>
      <c r="B241" s="255" t="s">
        <v>158</v>
      </c>
      <c r="C241" s="102" t="s">
        <v>56</v>
      </c>
      <c r="D241" s="406" t="s">
        <v>1094</v>
      </c>
      <c r="E241" s="406" t="s">
        <v>1094</v>
      </c>
      <c r="F241" s="407" t="s">
        <v>883</v>
      </c>
      <c r="G241" s="404" t="s">
        <v>883</v>
      </c>
      <c r="H241" s="404" t="s">
        <v>883</v>
      </c>
      <c r="I241" s="404" t="s">
        <v>883</v>
      </c>
      <c r="J241" s="404" t="s">
        <v>1094</v>
      </c>
      <c r="K241" s="248">
        <v>1.5094339622641509E-3</v>
      </c>
      <c r="L241" s="405" t="s">
        <v>883</v>
      </c>
      <c r="M241" s="405" t="s">
        <v>1094</v>
      </c>
      <c r="N241" s="405" t="s">
        <v>883</v>
      </c>
      <c r="O241" s="405" t="s">
        <v>883</v>
      </c>
      <c r="P241" s="405" t="s">
        <v>883</v>
      </c>
      <c r="Q241" s="405" t="s">
        <v>1094</v>
      </c>
      <c r="R241" s="405" t="s">
        <v>1094</v>
      </c>
      <c r="S241" s="405" t="s">
        <v>1094</v>
      </c>
      <c r="T241" s="405" t="s">
        <v>1094</v>
      </c>
      <c r="U241" s="405" t="s">
        <v>883</v>
      </c>
      <c r="V241" s="348"/>
      <c r="W241" s="480"/>
      <c r="X241" s="480"/>
      <c r="Y241" s="93"/>
      <c r="Z241" s="348"/>
      <c r="AA241" s="481"/>
      <c r="AB241" s="348"/>
      <c r="AC241" s="348"/>
      <c r="AD241" s="348"/>
      <c r="AE241" s="348"/>
      <c r="AF241" s="392"/>
      <c r="AG241" s="348"/>
      <c r="AH241" s="348"/>
      <c r="AI241" s="1"/>
    </row>
    <row r="242" spans="1:35" s="109" customFormat="1">
      <c r="A242" s="240" t="s">
        <v>854</v>
      </c>
      <c r="B242" s="255" t="s">
        <v>218</v>
      </c>
      <c r="C242" s="102" t="s">
        <v>117</v>
      </c>
      <c r="D242" s="256" t="s">
        <v>1094</v>
      </c>
      <c r="E242" s="406" t="s">
        <v>883</v>
      </c>
      <c r="F242" s="406" t="s">
        <v>883</v>
      </c>
      <c r="G242" s="404" t="s">
        <v>1094</v>
      </c>
      <c r="H242" s="404" t="s">
        <v>1094</v>
      </c>
      <c r="I242" s="404" t="s">
        <v>883</v>
      </c>
      <c r="J242" s="404" t="s">
        <v>883</v>
      </c>
      <c r="K242" s="248">
        <v>2.0833333333333333E-5</v>
      </c>
      <c r="L242" s="405" t="s">
        <v>1094</v>
      </c>
      <c r="M242" s="405" t="s">
        <v>1094</v>
      </c>
      <c r="N242" s="405" t="s">
        <v>1094</v>
      </c>
      <c r="O242" s="405" t="s">
        <v>1094</v>
      </c>
      <c r="P242" s="405" t="s">
        <v>1094</v>
      </c>
      <c r="Q242" s="405" t="s">
        <v>1094</v>
      </c>
      <c r="R242" s="405" t="s">
        <v>1094</v>
      </c>
      <c r="S242" s="405" t="s">
        <v>1094</v>
      </c>
      <c r="T242" s="405" t="s">
        <v>1094</v>
      </c>
      <c r="U242" s="405" t="s">
        <v>1094</v>
      </c>
      <c r="V242" s="348"/>
      <c r="W242" s="480"/>
      <c r="X242" s="480"/>
      <c r="Y242" s="93"/>
      <c r="Z242" s="348"/>
      <c r="AA242" s="481"/>
      <c r="AB242" s="348"/>
      <c r="AC242" s="348"/>
      <c r="AD242" s="348"/>
      <c r="AE242" s="348"/>
      <c r="AF242" s="392"/>
      <c r="AG242" s="348"/>
      <c r="AH242" s="348"/>
      <c r="AI242" s="1"/>
    </row>
    <row r="243" spans="1:35" s="109" customFormat="1">
      <c r="A243" s="506" t="s">
        <v>854</v>
      </c>
      <c r="B243" s="517" t="s">
        <v>11186</v>
      </c>
      <c r="C243" s="562" t="s">
        <v>11187</v>
      </c>
      <c r="D243" s="506" t="s">
        <v>883</v>
      </c>
      <c r="E243" s="506" t="s">
        <v>883</v>
      </c>
      <c r="F243" s="506" t="s">
        <v>1094</v>
      </c>
      <c r="G243" s="506" t="s">
        <v>1094</v>
      </c>
      <c r="H243" s="506" t="s">
        <v>1094</v>
      </c>
      <c r="I243" s="506" t="s">
        <v>1094</v>
      </c>
      <c r="J243" s="506" t="s">
        <v>883</v>
      </c>
      <c r="K243" s="511">
        <v>6.4516129032258067E-5</v>
      </c>
      <c r="L243" s="506" t="s">
        <v>883</v>
      </c>
      <c r="M243" s="506" t="s">
        <v>1094</v>
      </c>
      <c r="N243" s="506" t="s">
        <v>883</v>
      </c>
      <c r="O243" s="506" t="s">
        <v>883</v>
      </c>
      <c r="P243" s="506" t="s">
        <v>1094</v>
      </c>
      <c r="Q243" s="506" t="s">
        <v>883</v>
      </c>
      <c r="R243" s="506" t="s">
        <v>1094</v>
      </c>
      <c r="S243" s="506" t="s">
        <v>1094</v>
      </c>
      <c r="T243" s="506" t="s">
        <v>1094</v>
      </c>
      <c r="U243" s="506" t="s">
        <v>883</v>
      </c>
      <c r="V243" s="348"/>
      <c r="W243" s="480"/>
      <c r="X243" s="480"/>
      <c r="Y243" s="93"/>
      <c r="Z243" s="348"/>
      <c r="AA243" s="481"/>
      <c r="AB243" s="348"/>
      <c r="AC243" s="348"/>
      <c r="AD243" s="348"/>
      <c r="AE243" s="348"/>
      <c r="AF243" s="392"/>
      <c r="AG243" s="348"/>
      <c r="AH243" s="348"/>
      <c r="AI243" s="1"/>
    </row>
    <row r="244" spans="1:35" s="109" customFormat="1">
      <c r="A244" s="240" t="s">
        <v>854</v>
      </c>
      <c r="B244" s="255" t="s">
        <v>219</v>
      </c>
      <c r="C244" s="102" t="s">
        <v>870</v>
      </c>
      <c r="D244" s="256" t="s">
        <v>1094</v>
      </c>
      <c r="E244" s="406" t="s">
        <v>883</v>
      </c>
      <c r="F244" s="406" t="s">
        <v>883</v>
      </c>
      <c r="G244" s="404" t="s">
        <v>1094</v>
      </c>
      <c r="H244" s="404" t="s">
        <v>1094</v>
      </c>
      <c r="I244" s="404" t="s">
        <v>883</v>
      </c>
      <c r="J244" s="404" t="s">
        <v>883</v>
      </c>
      <c r="K244" s="248">
        <v>2.6785331638119454E-6</v>
      </c>
      <c r="L244" s="405" t="s">
        <v>1094</v>
      </c>
      <c r="M244" s="405" t="s">
        <v>1094</v>
      </c>
      <c r="N244" s="405" t="s">
        <v>1094</v>
      </c>
      <c r="O244" s="405" t="s">
        <v>1094</v>
      </c>
      <c r="P244" s="405" t="s">
        <v>1094</v>
      </c>
      <c r="Q244" s="405" t="s">
        <v>1094</v>
      </c>
      <c r="R244" s="405" t="s">
        <v>1094</v>
      </c>
      <c r="S244" s="405" t="s">
        <v>1094</v>
      </c>
      <c r="T244" s="405" t="s">
        <v>1094</v>
      </c>
      <c r="U244" s="405" t="s">
        <v>1094</v>
      </c>
      <c r="V244" s="348"/>
      <c r="W244" s="480"/>
      <c r="X244" s="480"/>
      <c r="Y244" s="93"/>
      <c r="Z244" s="348"/>
      <c r="AA244" s="481"/>
      <c r="AB244" s="348"/>
      <c r="AC244" s="348"/>
      <c r="AD244" s="348"/>
      <c r="AE244" s="348"/>
      <c r="AF244" s="392"/>
      <c r="AG244" s="348"/>
      <c r="AH244" s="348"/>
      <c r="AI244" s="1"/>
    </row>
    <row r="245" spans="1:35" s="109" customFormat="1">
      <c r="A245" s="240" t="s">
        <v>854</v>
      </c>
      <c r="B245" s="255" t="s">
        <v>12</v>
      </c>
      <c r="C245" s="102" t="s">
        <v>11</v>
      </c>
      <c r="D245" s="256" t="s">
        <v>1094</v>
      </c>
      <c r="E245" s="406" t="s">
        <v>1094</v>
      </c>
      <c r="F245" s="406" t="s">
        <v>883</v>
      </c>
      <c r="G245" s="404" t="s">
        <v>1094</v>
      </c>
      <c r="H245" s="404" t="s">
        <v>1094</v>
      </c>
      <c r="I245" s="404" t="s">
        <v>883</v>
      </c>
      <c r="J245" s="404" t="s">
        <v>883</v>
      </c>
      <c r="K245" s="248">
        <v>5.2083333333333337E-5</v>
      </c>
      <c r="L245" s="405" t="s">
        <v>883</v>
      </c>
      <c r="M245" s="405" t="s">
        <v>1094</v>
      </c>
      <c r="N245" s="405" t="s">
        <v>1094</v>
      </c>
      <c r="O245" s="405" t="s">
        <v>883</v>
      </c>
      <c r="P245" s="405" t="s">
        <v>883</v>
      </c>
      <c r="Q245" s="405" t="s">
        <v>883</v>
      </c>
      <c r="R245" s="405" t="s">
        <v>1094</v>
      </c>
      <c r="S245" s="405" t="s">
        <v>1094</v>
      </c>
      <c r="T245" s="405" t="s">
        <v>1094</v>
      </c>
      <c r="U245" s="405" t="s">
        <v>1094</v>
      </c>
      <c r="V245" s="348"/>
      <c r="W245" s="480"/>
      <c r="X245" s="480"/>
      <c r="Y245" s="93"/>
      <c r="Z245" s="348"/>
      <c r="AA245" s="481"/>
      <c r="AB245" s="348"/>
      <c r="AC245" s="348"/>
      <c r="AD245" s="348"/>
      <c r="AE245" s="348"/>
      <c r="AF245" s="392"/>
      <c r="AG245" s="348"/>
      <c r="AH245" s="348"/>
      <c r="AI245" s="1"/>
    </row>
    <row r="246" spans="1:35" s="109" customFormat="1">
      <c r="A246" s="240" t="s">
        <v>854</v>
      </c>
      <c r="B246" s="255" t="s">
        <v>283</v>
      </c>
      <c r="C246" s="102" t="s">
        <v>73</v>
      </c>
      <c r="D246" s="256" t="s">
        <v>1094</v>
      </c>
      <c r="E246" s="406" t="s">
        <v>883</v>
      </c>
      <c r="F246" s="406" t="s">
        <v>883</v>
      </c>
      <c r="G246" s="404" t="s">
        <v>1094</v>
      </c>
      <c r="H246" s="404" t="s">
        <v>1094</v>
      </c>
      <c r="I246" s="404" t="s">
        <v>883</v>
      </c>
      <c r="J246" s="404" t="s">
        <v>883</v>
      </c>
      <c r="K246" s="248">
        <v>9.2581521739130441E-3</v>
      </c>
      <c r="L246" s="405" t="s">
        <v>883</v>
      </c>
      <c r="M246" s="405" t="s">
        <v>1094</v>
      </c>
      <c r="N246" s="405" t="s">
        <v>1094</v>
      </c>
      <c r="O246" s="405" t="s">
        <v>1094</v>
      </c>
      <c r="P246" s="405" t="s">
        <v>1094</v>
      </c>
      <c r="Q246" s="405" t="s">
        <v>883</v>
      </c>
      <c r="R246" s="405" t="s">
        <v>883</v>
      </c>
      <c r="S246" s="405" t="s">
        <v>883</v>
      </c>
      <c r="T246" s="405" t="s">
        <v>883</v>
      </c>
      <c r="U246" s="405" t="s">
        <v>883</v>
      </c>
      <c r="V246" s="348"/>
      <c r="W246" s="480"/>
      <c r="X246" s="480"/>
      <c r="Y246" s="93"/>
      <c r="Z246" s="348"/>
      <c r="AA246" s="481"/>
      <c r="AB246" s="348"/>
      <c r="AC246" s="348"/>
      <c r="AD246" s="348"/>
      <c r="AE246" s="348"/>
      <c r="AF246" s="392"/>
      <c r="AG246" s="348"/>
      <c r="AH246" s="348"/>
      <c r="AI246" s="1"/>
    </row>
    <row r="247" spans="1:35" s="109" customFormat="1">
      <c r="A247" s="240" t="s">
        <v>854</v>
      </c>
      <c r="B247" s="255" t="s">
        <v>284</v>
      </c>
      <c r="C247" s="102" t="s">
        <v>77</v>
      </c>
      <c r="D247" s="256" t="s">
        <v>1094</v>
      </c>
      <c r="E247" s="406" t="s">
        <v>883</v>
      </c>
      <c r="F247" s="406" t="s">
        <v>883</v>
      </c>
      <c r="G247" s="404" t="s">
        <v>1094</v>
      </c>
      <c r="H247" s="404" t="s">
        <v>1094</v>
      </c>
      <c r="I247" s="404" t="s">
        <v>883</v>
      </c>
      <c r="J247" s="404" t="s">
        <v>883</v>
      </c>
      <c r="K247" s="248">
        <v>5.5555555555555558E-3</v>
      </c>
      <c r="L247" s="405" t="s">
        <v>1094</v>
      </c>
      <c r="M247" s="405" t="s">
        <v>1094</v>
      </c>
      <c r="N247" s="405" t="s">
        <v>1094</v>
      </c>
      <c r="O247" s="405" t="s">
        <v>1094</v>
      </c>
      <c r="P247" s="405" t="s">
        <v>1094</v>
      </c>
      <c r="Q247" s="405" t="s">
        <v>1094</v>
      </c>
      <c r="R247" s="405" t="s">
        <v>1094</v>
      </c>
      <c r="S247" s="405" t="s">
        <v>1094</v>
      </c>
      <c r="T247" s="405" t="s">
        <v>1094</v>
      </c>
      <c r="U247" s="405" t="s">
        <v>1094</v>
      </c>
      <c r="V247" s="348"/>
      <c r="W247" s="480"/>
      <c r="X247" s="480"/>
      <c r="Y247" s="93"/>
      <c r="Z247" s="348"/>
      <c r="AA247" s="481"/>
      <c r="AB247" s="348"/>
      <c r="AC247" s="348"/>
      <c r="AD247" s="348"/>
      <c r="AE247" s="348"/>
      <c r="AF247" s="392"/>
      <c r="AG247" s="348"/>
      <c r="AH247" s="348"/>
      <c r="AI247" s="1"/>
    </row>
    <row r="248" spans="1:35" s="109" customFormat="1">
      <c r="A248" s="240" t="s">
        <v>854</v>
      </c>
      <c r="B248" s="255" t="s">
        <v>151</v>
      </c>
      <c r="C248" s="102" t="s">
        <v>48</v>
      </c>
      <c r="D248" s="406" t="s">
        <v>883</v>
      </c>
      <c r="E248" s="256" t="s">
        <v>883</v>
      </c>
      <c r="F248" s="256" t="s">
        <v>1094</v>
      </c>
      <c r="G248" s="404" t="s">
        <v>1094</v>
      </c>
      <c r="H248" s="404" t="s">
        <v>1094</v>
      </c>
      <c r="I248" s="404" t="s">
        <v>1094</v>
      </c>
      <c r="J248" s="404" t="s">
        <v>883</v>
      </c>
      <c r="K248" s="248">
        <v>1.171875E-3</v>
      </c>
      <c r="L248" s="405" t="s">
        <v>883</v>
      </c>
      <c r="M248" s="405" t="s">
        <v>883</v>
      </c>
      <c r="N248" s="405" t="s">
        <v>883</v>
      </c>
      <c r="O248" s="405" t="s">
        <v>883</v>
      </c>
      <c r="P248" s="405" t="s">
        <v>883</v>
      </c>
      <c r="Q248" s="405" t="s">
        <v>883</v>
      </c>
      <c r="R248" s="405" t="s">
        <v>883</v>
      </c>
      <c r="S248" s="405" t="s">
        <v>1094</v>
      </c>
      <c r="T248" s="405" t="s">
        <v>883</v>
      </c>
      <c r="U248" s="405" t="s">
        <v>883</v>
      </c>
      <c r="V248" s="348"/>
      <c r="W248" s="480"/>
      <c r="X248" s="480"/>
      <c r="Y248" s="93"/>
      <c r="Z248" s="348"/>
      <c r="AA248" s="481"/>
      <c r="AB248" s="348"/>
      <c r="AC248" s="348"/>
      <c r="AD248" s="348"/>
      <c r="AE248" s="348"/>
      <c r="AF248" s="392"/>
      <c r="AG248" s="348"/>
      <c r="AH248" s="348"/>
      <c r="AI248" s="1"/>
    </row>
    <row r="249" spans="1:35" s="109" customFormat="1">
      <c r="A249" s="240" t="s">
        <v>854</v>
      </c>
      <c r="B249" s="255" t="s">
        <v>131</v>
      </c>
      <c r="C249" s="102" t="s">
        <v>29</v>
      </c>
      <c r="D249" s="256" t="s">
        <v>1094</v>
      </c>
      <c r="E249" s="406" t="s">
        <v>883</v>
      </c>
      <c r="F249" s="406" t="s">
        <v>883</v>
      </c>
      <c r="G249" s="404" t="s">
        <v>1094</v>
      </c>
      <c r="H249" s="404" t="s">
        <v>1094</v>
      </c>
      <c r="I249" s="404" t="s">
        <v>883</v>
      </c>
      <c r="J249" s="404" t="s">
        <v>883</v>
      </c>
      <c r="K249" s="248">
        <v>2.5862068965517242E-4</v>
      </c>
      <c r="L249" s="405" t="s">
        <v>1094</v>
      </c>
      <c r="M249" s="405" t="s">
        <v>1094</v>
      </c>
      <c r="N249" s="405" t="s">
        <v>1094</v>
      </c>
      <c r="O249" s="405" t="s">
        <v>1094</v>
      </c>
      <c r="P249" s="405" t="s">
        <v>1094</v>
      </c>
      <c r="Q249" s="405" t="s">
        <v>1094</v>
      </c>
      <c r="R249" s="405" t="s">
        <v>1094</v>
      </c>
      <c r="S249" s="405" t="s">
        <v>1094</v>
      </c>
      <c r="T249" s="405" t="s">
        <v>1094</v>
      </c>
      <c r="U249" s="405" t="s">
        <v>1094</v>
      </c>
      <c r="V249" s="348"/>
      <c r="W249" s="480"/>
      <c r="X249" s="480"/>
      <c r="Y249" s="93"/>
      <c r="Z249" s="348"/>
      <c r="AA249" s="481"/>
      <c r="AB249" s="348"/>
      <c r="AC249" s="348"/>
      <c r="AD249" s="348"/>
      <c r="AE249" s="348"/>
      <c r="AF249" s="392"/>
      <c r="AG249" s="348"/>
      <c r="AH249" s="348"/>
      <c r="AI249" s="1"/>
    </row>
    <row r="250" spans="1:35" s="109" customFormat="1">
      <c r="A250" s="240" t="s">
        <v>854</v>
      </c>
      <c r="B250" s="247" t="s">
        <v>285</v>
      </c>
      <c r="C250" s="102" t="s">
        <v>58</v>
      </c>
      <c r="D250" s="406" t="s">
        <v>883</v>
      </c>
      <c r="E250" s="406" t="s">
        <v>1094</v>
      </c>
      <c r="F250" s="406" t="s">
        <v>883</v>
      </c>
      <c r="G250" s="404" t="s">
        <v>883</v>
      </c>
      <c r="H250" s="404" t="s">
        <v>1094</v>
      </c>
      <c r="I250" s="404" t="s">
        <v>883</v>
      </c>
      <c r="J250" s="404" t="s">
        <v>1094</v>
      </c>
      <c r="K250" s="248">
        <v>1.176470588235294E-3</v>
      </c>
      <c r="L250" s="405" t="s">
        <v>883</v>
      </c>
      <c r="M250" s="405" t="s">
        <v>1094</v>
      </c>
      <c r="N250" s="405" t="s">
        <v>883</v>
      </c>
      <c r="O250" s="405" t="s">
        <v>883</v>
      </c>
      <c r="P250" s="405" t="s">
        <v>1094</v>
      </c>
      <c r="Q250" s="405" t="s">
        <v>883</v>
      </c>
      <c r="R250" s="405" t="s">
        <v>1094</v>
      </c>
      <c r="S250" s="405" t="s">
        <v>1094</v>
      </c>
      <c r="T250" s="405" t="s">
        <v>883</v>
      </c>
      <c r="U250" s="405" t="s">
        <v>883</v>
      </c>
      <c r="V250" s="348"/>
      <c r="W250" s="480"/>
      <c r="X250" s="480"/>
      <c r="Y250" s="93"/>
      <c r="Z250" s="348"/>
      <c r="AA250" s="481"/>
      <c r="AB250" s="348"/>
      <c r="AC250" s="348"/>
      <c r="AD250" s="348"/>
      <c r="AE250" s="348"/>
      <c r="AF250" s="392"/>
      <c r="AG250" s="348"/>
      <c r="AH250" s="348"/>
      <c r="AI250" s="1"/>
    </row>
    <row r="251" spans="1:35" s="109" customFormat="1">
      <c r="A251" s="240" t="s">
        <v>854</v>
      </c>
      <c r="B251" s="255" t="s">
        <v>121</v>
      </c>
      <c r="C251" s="102" t="s">
        <v>871</v>
      </c>
      <c r="D251" s="256" t="s">
        <v>1094</v>
      </c>
      <c r="E251" s="406" t="s">
        <v>1094</v>
      </c>
      <c r="F251" s="406" t="s">
        <v>883</v>
      </c>
      <c r="G251" s="404" t="s">
        <v>1094</v>
      </c>
      <c r="H251" s="404" t="s">
        <v>1094</v>
      </c>
      <c r="I251" s="404" t="s">
        <v>883</v>
      </c>
      <c r="J251" s="404" t="s">
        <v>883</v>
      </c>
      <c r="K251" s="248">
        <v>9.3750000000000002E-5</v>
      </c>
      <c r="L251" s="405" t="s">
        <v>1094</v>
      </c>
      <c r="M251" s="405" t="s">
        <v>1094</v>
      </c>
      <c r="N251" s="405" t="s">
        <v>1094</v>
      </c>
      <c r="O251" s="405" t="s">
        <v>1094</v>
      </c>
      <c r="P251" s="405" t="s">
        <v>1094</v>
      </c>
      <c r="Q251" s="405" t="s">
        <v>1094</v>
      </c>
      <c r="R251" s="405" t="s">
        <v>1094</v>
      </c>
      <c r="S251" s="405" t="s">
        <v>1094</v>
      </c>
      <c r="T251" s="405" t="s">
        <v>1094</v>
      </c>
      <c r="U251" s="405" t="s">
        <v>1094</v>
      </c>
      <c r="V251" s="348"/>
      <c r="W251" s="480"/>
      <c r="X251" s="480"/>
      <c r="Y251" s="93"/>
      <c r="Z251" s="348"/>
      <c r="AA251" s="481"/>
      <c r="AB251" s="348"/>
      <c r="AC251" s="348"/>
      <c r="AD251" s="348"/>
      <c r="AE251" s="348"/>
      <c r="AF251" s="392"/>
      <c r="AG251" s="348"/>
      <c r="AH251" s="348"/>
      <c r="AI251" s="1"/>
    </row>
    <row r="252" spans="1:35" s="109" customFormat="1">
      <c r="A252" s="506" t="s">
        <v>854</v>
      </c>
      <c r="B252" s="507" t="s">
        <v>11227</v>
      </c>
      <c r="C252" s="508" t="s">
        <v>11226</v>
      </c>
      <c r="D252" s="524" t="s">
        <v>1094</v>
      </c>
      <c r="E252" s="524" t="s">
        <v>883</v>
      </c>
      <c r="F252" s="524" t="s">
        <v>883</v>
      </c>
      <c r="G252" s="525" t="s">
        <v>883</v>
      </c>
      <c r="H252" s="525" t="s">
        <v>883</v>
      </c>
      <c r="I252" s="525" t="s">
        <v>883</v>
      </c>
      <c r="J252" s="525" t="s">
        <v>1094</v>
      </c>
      <c r="K252" s="248">
        <v>7.8260869565217397E-3</v>
      </c>
      <c r="L252" s="511" t="s">
        <v>883</v>
      </c>
      <c r="M252" s="511" t="s">
        <v>883</v>
      </c>
      <c r="N252" s="511" t="s">
        <v>883</v>
      </c>
      <c r="O252" s="511" t="s">
        <v>883</v>
      </c>
      <c r="P252" s="511" t="s">
        <v>883</v>
      </c>
      <c r="Q252" s="511" t="s">
        <v>883</v>
      </c>
      <c r="R252" s="511" t="s">
        <v>883</v>
      </c>
      <c r="S252" s="511" t="s">
        <v>1094</v>
      </c>
      <c r="T252" s="511" t="s">
        <v>883</v>
      </c>
      <c r="U252" s="511" t="s">
        <v>883</v>
      </c>
      <c r="V252" s="348"/>
      <c r="W252" s="480"/>
      <c r="X252" s="480"/>
      <c r="Y252" s="93"/>
      <c r="Z252" s="348"/>
      <c r="AA252" s="481"/>
      <c r="AB252" s="348"/>
      <c r="AC252" s="348"/>
      <c r="AD252" s="348"/>
      <c r="AE252" s="348"/>
      <c r="AF252" s="392"/>
      <c r="AG252" s="348"/>
      <c r="AH252" s="348"/>
      <c r="AI252" s="1"/>
    </row>
    <row r="253" spans="1:35" s="109" customFormat="1">
      <c r="A253" s="240" t="s">
        <v>854</v>
      </c>
      <c r="B253" s="255" t="s">
        <v>182</v>
      </c>
      <c r="C253" s="102" t="s">
        <v>84</v>
      </c>
      <c r="D253" s="406" t="s">
        <v>1094</v>
      </c>
      <c r="E253" s="406" t="s">
        <v>1094</v>
      </c>
      <c r="F253" s="407" t="s">
        <v>883</v>
      </c>
      <c r="G253" s="404" t="s">
        <v>1094</v>
      </c>
      <c r="H253" s="404" t="s">
        <v>1094</v>
      </c>
      <c r="I253" s="404" t="s">
        <v>883</v>
      </c>
      <c r="J253" s="404" t="s">
        <v>1094</v>
      </c>
      <c r="K253" s="248">
        <v>7.2463768115942027E-5</v>
      </c>
      <c r="L253" s="405" t="s">
        <v>883</v>
      </c>
      <c r="M253" s="405" t="s">
        <v>1094</v>
      </c>
      <c r="N253" s="405" t="s">
        <v>883</v>
      </c>
      <c r="O253" s="405" t="s">
        <v>1094</v>
      </c>
      <c r="P253" s="405" t="s">
        <v>1094</v>
      </c>
      <c r="Q253" s="405" t="s">
        <v>1094</v>
      </c>
      <c r="R253" s="405" t="s">
        <v>1094</v>
      </c>
      <c r="S253" s="405" t="s">
        <v>1094</v>
      </c>
      <c r="T253" s="405" t="s">
        <v>883</v>
      </c>
      <c r="U253" s="405" t="s">
        <v>883</v>
      </c>
      <c r="V253" s="348"/>
      <c r="W253" s="480"/>
      <c r="X253" s="480"/>
      <c r="Y253" s="93"/>
      <c r="Z253" s="348"/>
      <c r="AA253" s="481"/>
      <c r="AB253" s="348"/>
      <c r="AC253" s="348"/>
      <c r="AD253" s="348"/>
      <c r="AE253" s="348"/>
      <c r="AF253" s="392"/>
      <c r="AG253" s="348"/>
      <c r="AH253" s="348"/>
      <c r="AI253" s="1"/>
    </row>
    <row r="254" spans="1:35" s="109" customFormat="1">
      <c r="A254" s="240" t="s">
        <v>854</v>
      </c>
      <c r="B254" s="255" t="s">
        <v>148</v>
      </c>
      <c r="C254" s="102" t="s">
        <v>46</v>
      </c>
      <c r="D254" s="406" t="s">
        <v>883</v>
      </c>
      <c r="E254" s="256" t="s">
        <v>883</v>
      </c>
      <c r="F254" s="256" t="s">
        <v>1094</v>
      </c>
      <c r="G254" s="404" t="s">
        <v>1094</v>
      </c>
      <c r="H254" s="404" t="s">
        <v>1094</v>
      </c>
      <c r="I254" s="404" t="s">
        <v>1094</v>
      </c>
      <c r="J254" s="404" t="s">
        <v>883</v>
      </c>
      <c r="K254" s="248">
        <v>9.3749999999999997E-4</v>
      </c>
      <c r="L254" s="405" t="s">
        <v>883</v>
      </c>
      <c r="M254" s="405" t="s">
        <v>1094</v>
      </c>
      <c r="N254" s="405" t="s">
        <v>1094</v>
      </c>
      <c r="O254" s="405" t="s">
        <v>1094</v>
      </c>
      <c r="P254" s="405" t="s">
        <v>1094</v>
      </c>
      <c r="Q254" s="405" t="s">
        <v>1094</v>
      </c>
      <c r="R254" s="405" t="s">
        <v>1094</v>
      </c>
      <c r="S254" s="405" t="s">
        <v>883</v>
      </c>
      <c r="T254" s="405" t="s">
        <v>1094</v>
      </c>
      <c r="U254" s="405" t="s">
        <v>1094</v>
      </c>
      <c r="V254" s="348"/>
      <c r="W254" s="480"/>
      <c r="X254" s="480"/>
      <c r="Y254" s="93"/>
      <c r="Z254" s="348"/>
      <c r="AA254" s="481"/>
      <c r="AB254" s="348"/>
      <c r="AC254" s="348"/>
      <c r="AD254" s="348"/>
      <c r="AE254" s="348"/>
      <c r="AF254" s="392"/>
      <c r="AG254" s="348"/>
      <c r="AH254" s="348"/>
      <c r="AI254" s="1"/>
    </row>
    <row r="255" spans="1:35" s="109" customFormat="1">
      <c r="A255" s="506" t="s">
        <v>854</v>
      </c>
      <c r="B255" s="507" t="s">
        <v>11176</v>
      </c>
      <c r="C255" s="508" t="s">
        <v>11175</v>
      </c>
      <c r="D255" s="524" t="s">
        <v>883</v>
      </c>
      <c r="E255" s="524" t="s">
        <v>1094</v>
      </c>
      <c r="F255" s="524" t="s">
        <v>1094</v>
      </c>
      <c r="G255" s="525" t="s">
        <v>1094</v>
      </c>
      <c r="H255" s="525" t="s">
        <v>1094</v>
      </c>
      <c r="I255" s="525" t="s">
        <v>883</v>
      </c>
      <c r="J255" s="525" t="s">
        <v>1094</v>
      </c>
      <c r="K255" s="511">
        <v>1.3636363636363637E-3</v>
      </c>
      <c r="L255" s="511" t="s">
        <v>1094</v>
      </c>
      <c r="M255" s="511" t="s">
        <v>1094</v>
      </c>
      <c r="N255" s="511" t="s">
        <v>1094</v>
      </c>
      <c r="O255" s="511" t="s">
        <v>1094</v>
      </c>
      <c r="P255" s="511" t="s">
        <v>1094</v>
      </c>
      <c r="Q255" s="511" t="s">
        <v>1094</v>
      </c>
      <c r="R255" s="511" t="s">
        <v>1094</v>
      </c>
      <c r="S255" s="511" t="s">
        <v>1094</v>
      </c>
      <c r="T255" s="511" t="s">
        <v>1094</v>
      </c>
      <c r="U255" s="511" t="s">
        <v>1094</v>
      </c>
      <c r="V255" s="348"/>
      <c r="W255" s="480"/>
      <c r="X255" s="480"/>
      <c r="Y255" s="93"/>
      <c r="Z255" s="348"/>
      <c r="AA255" s="481"/>
      <c r="AB255" s="348"/>
      <c r="AC255" s="348"/>
      <c r="AD255" s="348"/>
      <c r="AE255" s="348"/>
      <c r="AF255" s="392"/>
      <c r="AG255" s="348"/>
      <c r="AH255" s="348"/>
      <c r="AI255" s="1"/>
    </row>
    <row r="256" spans="1:35" s="109" customFormat="1">
      <c r="A256" s="240" t="s">
        <v>854</v>
      </c>
      <c r="B256" s="255" t="s">
        <v>213</v>
      </c>
      <c r="C256" s="102" t="s">
        <v>114</v>
      </c>
      <c r="D256" s="406" t="s">
        <v>883</v>
      </c>
      <c r="E256" s="406" t="s">
        <v>883</v>
      </c>
      <c r="F256" s="256" t="s">
        <v>1094</v>
      </c>
      <c r="G256" s="404" t="s">
        <v>883</v>
      </c>
      <c r="H256" s="404" t="s">
        <v>883</v>
      </c>
      <c r="I256" s="404" t="s">
        <v>1094</v>
      </c>
      <c r="J256" s="404" t="s">
        <v>883</v>
      </c>
      <c r="K256" s="248">
        <v>3.0241935483870969E-4</v>
      </c>
      <c r="L256" s="405" t="s">
        <v>1094</v>
      </c>
      <c r="M256" s="405" t="s">
        <v>1094</v>
      </c>
      <c r="N256" s="405" t="s">
        <v>1094</v>
      </c>
      <c r="O256" s="405" t="s">
        <v>1094</v>
      </c>
      <c r="P256" s="405" t="s">
        <v>1094</v>
      </c>
      <c r="Q256" s="405" t="s">
        <v>1094</v>
      </c>
      <c r="R256" s="405" t="s">
        <v>1094</v>
      </c>
      <c r="S256" s="405" t="s">
        <v>1094</v>
      </c>
      <c r="T256" s="405" t="s">
        <v>1094</v>
      </c>
      <c r="U256" s="405" t="s">
        <v>1094</v>
      </c>
      <c r="V256" s="348"/>
      <c r="W256" s="480"/>
      <c r="X256" s="480"/>
      <c r="Y256" s="93"/>
      <c r="Z256" s="348"/>
      <c r="AA256" s="481"/>
      <c r="AB256" s="348"/>
      <c r="AC256" s="348"/>
      <c r="AD256" s="348"/>
      <c r="AE256" s="348"/>
      <c r="AF256" s="392"/>
      <c r="AG256" s="348"/>
      <c r="AH256" s="348"/>
      <c r="AI256" s="1"/>
    </row>
    <row r="257" spans="1:35" s="109" customFormat="1">
      <c r="A257" s="240" t="s">
        <v>854</v>
      </c>
      <c r="B257" s="255" t="s">
        <v>202</v>
      </c>
      <c r="C257" s="102" t="s">
        <v>104</v>
      </c>
      <c r="D257" s="406" t="s">
        <v>883</v>
      </c>
      <c r="E257" s="256" t="s">
        <v>883</v>
      </c>
      <c r="F257" s="256" t="s">
        <v>1094</v>
      </c>
      <c r="G257" s="404" t="s">
        <v>1094</v>
      </c>
      <c r="H257" s="404" t="s">
        <v>1094</v>
      </c>
      <c r="I257" s="404" t="s">
        <v>1094</v>
      </c>
      <c r="J257" s="404" t="s">
        <v>883</v>
      </c>
      <c r="K257" s="248">
        <v>4.4444444444444447E-4</v>
      </c>
      <c r="L257" s="405" t="s">
        <v>883</v>
      </c>
      <c r="M257" s="405" t="s">
        <v>1094</v>
      </c>
      <c r="N257" s="405" t="s">
        <v>1094</v>
      </c>
      <c r="O257" s="405" t="s">
        <v>1094</v>
      </c>
      <c r="P257" s="405" t="s">
        <v>1094</v>
      </c>
      <c r="Q257" s="405" t="s">
        <v>883</v>
      </c>
      <c r="R257" s="405" t="s">
        <v>883</v>
      </c>
      <c r="S257" s="405" t="s">
        <v>1094</v>
      </c>
      <c r="T257" s="405" t="s">
        <v>883</v>
      </c>
      <c r="U257" s="405" t="s">
        <v>883</v>
      </c>
      <c r="V257" s="348"/>
      <c r="W257" s="480"/>
      <c r="X257" s="480"/>
      <c r="Y257" s="93"/>
      <c r="Z257" s="348"/>
      <c r="AA257" s="481"/>
      <c r="AB257" s="348"/>
      <c r="AC257" s="348"/>
      <c r="AD257" s="348"/>
      <c r="AE257" s="348"/>
      <c r="AF257" s="392"/>
      <c r="AG257" s="348"/>
      <c r="AH257" s="348"/>
      <c r="AI257" s="1"/>
    </row>
    <row r="258" spans="1:35" s="109" customFormat="1">
      <c r="A258" s="240" t="s">
        <v>854</v>
      </c>
      <c r="B258" s="255" t="s">
        <v>286</v>
      </c>
      <c r="C258" s="102" t="s">
        <v>60</v>
      </c>
      <c r="D258" s="406" t="s">
        <v>1094</v>
      </c>
      <c r="E258" s="406" t="s">
        <v>1094</v>
      </c>
      <c r="F258" s="406" t="s">
        <v>883</v>
      </c>
      <c r="G258" s="404" t="s">
        <v>1094</v>
      </c>
      <c r="H258" s="404" t="s">
        <v>1094</v>
      </c>
      <c r="I258" s="404" t="s">
        <v>1094</v>
      </c>
      <c r="J258" s="404" t="s">
        <v>1094</v>
      </c>
      <c r="K258" s="248">
        <v>1.1999999999999999E-3</v>
      </c>
      <c r="L258" s="405" t="s">
        <v>1094</v>
      </c>
      <c r="M258" s="405" t="s">
        <v>1094</v>
      </c>
      <c r="N258" s="405" t="s">
        <v>1094</v>
      </c>
      <c r="O258" s="405" t="s">
        <v>1094</v>
      </c>
      <c r="P258" s="405" t="s">
        <v>1094</v>
      </c>
      <c r="Q258" s="405" t="s">
        <v>1094</v>
      </c>
      <c r="R258" s="405" t="s">
        <v>1094</v>
      </c>
      <c r="S258" s="405" t="s">
        <v>1094</v>
      </c>
      <c r="T258" s="405" t="s">
        <v>1094</v>
      </c>
      <c r="U258" s="405" t="s">
        <v>1094</v>
      </c>
      <c r="V258" s="348"/>
      <c r="W258" s="480"/>
      <c r="X258" s="480"/>
      <c r="Y258" s="93"/>
      <c r="Z258" s="348"/>
      <c r="AA258" s="481"/>
      <c r="AB258" s="348"/>
      <c r="AC258" s="348"/>
      <c r="AD258" s="348"/>
      <c r="AE258" s="348"/>
      <c r="AF258" s="392"/>
      <c r="AG258" s="348"/>
      <c r="AH258" s="348"/>
      <c r="AI258" s="1"/>
    </row>
    <row r="259" spans="1:35" s="109" customFormat="1">
      <c r="A259" s="240" t="s">
        <v>854</v>
      </c>
      <c r="B259" s="255" t="s">
        <v>161</v>
      </c>
      <c r="C259" s="102" t="s">
        <v>61</v>
      </c>
      <c r="D259" s="406" t="s">
        <v>883</v>
      </c>
      <c r="E259" s="256" t="s">
        <v>1094</v>
      </c>
      <c r="F259" s="406" t="s">
        <v>883</v>
      </c>
      <c r="G259" s="404" t="s">
        <v>883</v>
      </c>
      <c r="H259" s="404" t="s">
        <v>1094</v>
      </c>
      <c r="I259" s="404" t="s">
        <v>883</v>
      </c>
      <c r="J259" s="404" t="s">
        <v>1094</v>
      </c>
      <c r="K259" s="248">
        <v>7.0312499999999997E-4</v>
      </c>
      <c r="L259" s="405" t="s">
        <v>883</v>
      </c>
      <c r="M259" s="405" t="s">
        <v>883</v>
      </c>
      <c r="N259" s="405" t="s">
        <v>883</v>
      </c>
      <c r="O259" s="405" t="s">
        <v>883</v>
      </c>
      <c r="P259" s="405" t="s">
        <v>883</v>
      </c>
      <c r="Q259" s="405" t="s">
        <v>883</v>
      </c>
      <c r="R259" s="405" t="s">
        <v>883</v>
      </c>
      <c r="S259" s="405" t="s">
        <v>1094</v>
      </c>
      <c r="T259" s="405" t="s">
        <v>883</v>
      </c>
      <c r="U259" s="405" t="s">
        <v>883</v>
      </c>
      <c r="V259" s="348"/>
      <c r="W259" s="480"/>
      <c r="X259" s="480"/>
      <c r="Y259" s="93"/>
      <c r="Z259" s="348"/>
      <c r="AA259" s="481"/>
      <c r="AB259" s="348"/>
      <c r="AC259" s="348"/>
      <c r="AD259" s="348"/>
      <c r="AE259" s="348"/>
      <c r="AF259" s="392"/>
      <c r="AG259" s="348"/>
      <c r="AH259" s="348"/>
      <c r="AI259" s="1"/>
    </row>
    <row r="260" spans="1:35" s="109" customFormat="1">
      <c r="A260" s="506" t="s">
        <v>854</v>
      </c>
      <c r="B260" s="507" t="s">
        <v>11177</v>
      </c>
      <c r="C260" s="508" t="s">
        <v>11178</v>
      </c>
      <c r="D260" s="524" t="s">
        <v>883</v>
      </c>
      <c r="E260" s="524" t="s">
        <v>883</v>
      </c>
      <c r="F260" s="524" t="s">
        <v>1094</v>
      </c>
      <c r="G260" s="525" t="s">
        <v>883</v>
      </c>
      <c r="H260" s="525" t="s">
        <v>883</v>
      </c>
      <c r="I260" s="525" t="s">
        <v>1094</v>
      </c>
      <c r="J260" s="525" t="s">
        <v>883</v>
      </c>
      <c r="K260" s="511">
        <v>8.1632653061224493E-4</v>
      </c>
      <c r="L260" s="511" t="s">
        <v>883</v>
      </c>
      <c r="M260" s="511" t="s">
        <v>883</v>
      </c>
      <c r="N260" s="511" t="s">
        <v>1094</v>
      </c>
      <c r="O260" s="511" t="s">
        <v>1094</v>
      </c>
      <c r="P260" s="511" t="s">
        <v>1094</v>
      </c>
      <c r="Q260" s="511" t="s">
        <v>883</v>
      </c>
      <c r="R260" s="511" t="s">
        <v>883</v>
      </c>
      <c r="S260" s="511" t="s">
        <v>883</v>
      </c>
      <c r="T260" s="511" t="s">
        <v>883</v>
      </c>
      <c r="U260" s="511" t="s">
        <v>883</v>
      </c>
      <c r="V260" s="348"/>
      <c r="W260" s="480"/>
      <c r="X260" s="480"/>
      <c r="Y260" s="93"/>
      <c r="Z260" s="348"/>
      <c r="AA260" s="481"/>
      <c r="AB260" s="348"/>
      <c r="AC260" s="348"/>
      <c r="AD260" s="348"/>
      <c r="AE260" s="348"/>
      <c r="AF260" s="392"/>
      <c r="AG260" s="348"/>
      <c r="AH260" s="348"/>
      <c r="AI260" s="1"/>
    </row>
    <row r="261" spans="1:35" s="109" customFormat="1">
      <c r="A261" s="240" t="s">
        <v>854</v>
      </c>
      <c r="B261" s="247" t="s">
        <v>191</v>
      </c>
      <c r="C261" s="102" t="s">
        <v>92</v>
      </c>
      <c r="D261" s="406" t="s">
        <v>883</v>
      </c>
      <c r="E261" s="406" t="s">
        <v>883</v>
      </c>
      <c r="F261" s="406" t="s">
        <v>1094</v>
      </c>
      <c r="G261" s="404" t="s">
        <v>1094</v>
      </c>
      <c r="H261" s="404" t="s">
        <v>1094</v>
      </c>
      <c r="I261" s="404" t="s">
        <v>1094</v>
      </c>
      <c r="J261" s="404" t="s">
        <v>883</v>
      </c>
      <c r="K261" s="248">
        <v>0.01</v>
      </c>
      <c r="L261" s="405" t="s">
        <v>883</v>
      </c>
      <c r="M261" s="405" t="s">
        <v>1094</v>
      </c>
      <c r="N261" s="405" t="s">
        <v>1094</v>
      </c>
      <c r="O261" s="405" t="s">
        <v>1094</v>
      </c>
      <c r="P261" s="405" t="s">
        <v>1094</v>
      </c>
      <c r="Q261" s="405" t="s">
        <v>1094</v>
      </c>
      <c r="R261" s="405" t="s">
        <v>883</v>
      </c>
      <c r="S261" s="405" t="s">
        <v>883</v>
      </c>
      <c r="T261" s="405" t="s">
        <v>883</v>
      </c>
      <c r="U261" s="405" t="s">
        <v>1094</v>
      </c>
      <c r="V261" s="348"/>
      <c r="W261" s="480"/>
      <c r="X261" s="480"/>
      <c r="Y261" s="93"/>
      <c r="Z261" s="348"/>
      <c r="AA261" s="481"/>
      <c r="AB261" s="348"/>
      <c r="AC261" s="348"/>
      <c r="AD261" s="348"/>
      <c r="AE261" s="348"/>
      <c r="AF261" s="392"/>
      <c r="AG261" s="348"/>
      <c r="AH261" s="348"/>
      <c r="AI261" s="1"/>
    </row>
    <row r="262" spans="1:35" s="109" customFormat="1">
      <c r="A262" s="240" t="s">
        <v>854</v>
      </c>
      <c r="B262" s="255" t="s">
        <v>873</v>
      </c>
      <c r="C262" s="102" t="s">
        <v>872</v>
      </c>
      <c r="D262" s="256" t="s">
        <v>1094</v>
      </c>
      <c r="E262" s="256" t="s">
        <v>1094</v>
      </c>
      <c r="F262" s="256" t="s">
        <v>883</v>
      </c>
      <c r="G262" s="404" t="s">
        <v>1094</v>
      </c>
      <c r="H262" s="404" t="s">
        <v>1094</v>
      </c>
      <c r="I262" s="404" t="s">
        <v>883</v>
      </c>
      <c r="J262" s="404" t="s">
        <v>883</v>
      </c>
      <c r="K262" s="248">
        <v>3.5714285714285717E-5</v>
      </c>
      <c r="L262" s="405" t="s">
        <v>1094</v>
      </c>
      <c r="M262" s="405" t="s">
        <v>1094</v>
      </c>
      <c r="N262" s="405" t="s">
        <v>1094</v>
      </c>
      <c r="O262" s="405" t="s">
        <v>1094</v>
      </c>
      <c r="P262" s="405" t="s">
        <v>1094</v>
      </c>
      <c r="Q262" s="405" t="s">
        <v>1094</v>
      </c>
      <c r="R262" s="405" t="s">
        <v>1094</v>
      </c>
      <c r="S262" s="405" t="s">
        <v>1094</v>
      </c>
      <c r="T262" s="405" t="s">
        <v>1094</v>
      </c>
      <c r="U262" s="405" t="s">
        <v>1094</v>
      </c>
      <c r="V262" s="348"/>
      <c r="W262" s="480"/>
      <c r="X262" s="480"/>
      <c r="Y262" s="93"/>
      <c r="Z262" s="348"/>
      <c r="AA262" s="481"/>
      <c r="AB262" s="348"/>
      <c r="AC262" s="348"/>
      <c r="AD262" s="348"/>
      <c r="AE262" s="348"/>
      <c r="AF262" s="392"/>
      <c r="AG262" s="348"/>
      <c r="AH262" s="348"/>
      <c r="AI262" s="1"/>
    </row>
    <row r="263" spans="1:35" s="109" customFormat="1">
      <c r="A263" s="240" t="s">
        <v>854</v>
      </c>
      <c r="B263" s="255" t="s">
        <v>207</v>
      </c>
      <c r="C263" s="102" t="s">
        <v>109</v>
      </c>
      <c r="D263" s="256" t="s">
        <v>1094</v>
      </c>
      <c r="E263" s="406" t="s">
        <v>883</v>
      </c>
      <c r="F263" s="406" t="s">
        <v>883</v>
      </c>
      <c r="G263" s="404" t="s">
        <v>1094</v>
      </c>
      <c r="H263" s="404" t="s">
        <v>883</v>
      </c>
      <c r="I263" s="404" t="s">
        <v>883</v>
      </c>
      <c r="J263" s="404" t="s">
        <v>883</v>
      </c>
      <c r="K263" s="248">
        <v>2.2857142857142859E-3</v>
      </c>
      <c r="L263" s="405" t="s">
        <v>1094</v>
      </c>
      <c r="M263" s="405" t="s">
        <v>1094</v>
      </c>
      <c r="N263" s="405" t="s">
        <v>1094</v>
      </c>
      <c r="O263" s="405" t="s">
        <v>1094</v>
      </c>
      <c r="P263" s="405" t="s">
        <v>1094</v>
      </c>
      <c r="Q263" s="405" t="s">
        <v>1094</v>
      </c>
      <c r="R263" s="405" t="s">
        <v>1094</v>
      </c>
      <c r="S263" s="405" t="s">
        <v>1094</v>
      </c>
      <c r="T263" s="405" t="s">
        <v>1094</v>
      </c>
      <c r="U263" s="405" t="s">
        <v>1094</v>
      </c>
      <c r="V263" s="348"/>
      <c r="W263" s="480"/>
      <c r="X263" s="480"/>
      <c r="Y263" s="93"/>
      <c r="Z263" s="348"/>
      <c r="AA263" s="481"/>
      <c r="AB263" s="348"/>
      <c r="AC263" s="348"/>
      <c r="AD263" s="348"/>
      <c r="AE263" s="348"/>
      <c r="AF263" s="392"/>
      <c r="AG263" s="348"/>
      <c r="AH263" s="348"/>
      <c r="AI263" s="1"/>
    </row>
    <row r="264" spans="1:35" s="109" customFormat="1">
      <c r="A264" s="240" t="s">
        <v>854</v>
      </c>
      <c r="B264" s="247" t="s">
        <v>132</v>
      </c>
      <c r="C264" s="102" t="s">
        <v>30</v>
      </c>
      <c r="D264" s="406" t="s">
        <v>1094</v>
      </c>
      <c r="E264" s="406" t="s">
        <v>1094</v>
      </c>
      <c r="F264" s="406" t="s">
        <v>883</v>
      </c>
      <c r="G264" s="404" t="s">
        <v>883</v>
      </c>
      <c r="H264" s="404" t="s">
        <v>883</v>
      </c>
      <c r="I264" s="404" t="s">
        <v>883</v>
      </c>
      <c r="J264" s="404" t="s">
        <v>1094</v>
      </c>
      <c r="K264" s="248">
        <v>6.2500000000000001E-4</v>
      </c>
      <c r="L264" s="405" t="s">
        <v>883</v>
      </c>
      <c r="M264" s="405" t="s">
        <v>1094</v>
      </c>
      <c r="N264" s="405" t="s">
        <v>1094</v>
      </c>
      <c r="O264" s="405" t="s">
        <v>1094</v>
      </c>
      <c r="P264" s="405" t="s">
        <v>1094</v>
      </c>
      <c r="Q264" s="405" t="s">
        <v>883</v>
      </c>
      <c r="R264" s="405" t="s">
        <v>1094</v>
      </c>
      <c r="S264" s="405" t="s">
        <v>1094</v>
      </c>
      <c r="T264" s="405" t="s">
        <v>883</v>
      </c>
      <c r="U264" s="405" t="s">
        <v>883</v>
      </c>
      <c r="V264" s="348"/>
      <c r="W264" s="480"/>
      <c r="X264" s="480"/>
      <c r="Y264" s="93"/>
      <c r="Z264" s="348"/>
      <c r="AA264" s="481"/>
      <c r="AB264" s="348"/>
      <c r="AC264" s="348"/>
      <c r="AD264" s="348"/>
      <c r="AE264" s="348"/>
      <c r="AF264" s="392"/>
      <c r="AG264" s="348"/>
      <c r="AH264" s="348"/>
      <c r="AI264" s="1"/>
    </row>
    <row r="265" spans="1:35" s="109" customFormat="1">
      <c r="A265" s="240" t="s">
        <v>854</v>
      </c>
      <c r="B265" s="247" t="s">
        <v>175</v>
      </c>
      <c r="C265" s="102" t="s">
        <v>78</v>
      </c>
      <c r="D265" s="406" t="s">
        <v>883</v>
      </c>
      <c r="E265" s="406" t="s">
        <v>883</v>
      </c>
      <c r="F265" s="406" t="s">
        <v>1094</v>
      </c>
      <c r="G265" s="404" t="s">
        <v>883</v>
      </c>
      <c r="H265" s="404" t="s">
        <v>883</v>
      </c>
      <c r="I265" s="404" t="s">
        <v>1094</v>
      </c>
      <c r="J265" s="404" t="s">
        <v>883</v>
      </c>
      <c r="K265" s="248">
        <v>1.2820512820512821E-3</v>
      </c>
      <c r="L265" s="405" t="s">
        <v>883</v>
      </c>
      <c r="M265" s="405" t="s">
        <v>1094</v>
      </c>
      <c r="N265" s="405" t="s">
        <v>883</v>
      </c>
      <c r="O265" s="405" t="s">
        <v>1094</v>
      </c>
      <c r="P265" s="405" t="s">
        <v>1094</v>
      </c>
      <c r="Q265" s="405" t="s">
        <v>883</v>
      </c>
      <c r="R265" s="405" t="s">
        <v>1094</v>
      </c>
      <c r="S265" s="405" t="s">
        <v>1094</v>
      </c>
      <c r="T265" s="405" t="s">
        <v>883</v>
      </c>
      <c r="U265" s="405" t="s">
        <v>883</v>
      </c>
      <c r="V265" s="348"/>
      <c r="W265" s="480"/>
      <c r="X265" s="480"/>
      <c r="Y265" s="93"/>
      <c r="Z265" s="348"/>
      <c r="AA265" s="481"/>
      <c r="AB265" s="348"/>
      <c r="AC265" s="348"/>
      <c r="AD265" s="348"/>
      <c r="AE265" s="348"/>
      <c r="AF265" s="392"/>
      <c r="AG265" s="348"/>
      <c r="AH265" s="348"/>
      <c r="AI265" s="1"/>
    </row>
    <row r="266" spans="1:35" s="109" customFormat="1">
      <c r="A266" s="240" t="s">
        <v>854</v>
      </c>
      <c r="B266" s="255" t="s">
        <v>287</v>
      </c>
      <c r="C266" s="102" t="s">
        <v>101</v>
      </c>
      <c r="D266" s="406" t="s">
        <v>883</v>
      </c>
      <c r="E266" s="256" t="s">
        <v>883</v>
      </c>
      <c r="F266" s="256" t="s">
        <v>1094</v>
      </c>
      <c r="G266" s="404" t="s">
        <v>1094</v>
      </c>
      <c r="H266" s="404" t="s">
        <v>883</v>
      </c>
      <c r="I266" s="404" t="s">
        <v>1094</v>
      </c>
      <c r="J266" s="404" t="s">
        <v>883</v>
      </c>
      <c r="K266" s="248">
        <v>1.171875E-5</v>
      </c>
      <c r="L266" s="405" t="s">
        <v>1094</v>
      </c>
      <c r="M266" s="405" t="s">
        <v>1094</v>
      </c>
      <c r="N266" s="405" t="s">
        <v>1094</v>
      </c>
      <c r="O266" s="405" t="s">
        <v>1094</v>
      </c>
      <c r="P266" s="405" t="s">
        <v>1094</v>
      </c>
      <c r="Q266" s="405" t="s">
        <v>1094</v>
      </c>
      <c r="R266" s="405" t="s">
        <v>1094</v>
      </c>
      <c r="S266" s="405" t="s">
        <v>1094</v>
      </c>
      <c r="T266" s="405" t="s">
        <v>1094</v>
      </c>
      <c r="U266" s="405" t="s">
        <v>1094</v>
      </c>
      <c r="V266" s="348"/>
      <c r="W266" s="480"/>
      <c r="X266" s="480"/>
      <c r="Y266" s="93"/>
      <c r="Z266" s="348"/>
      <c r="AA266" s="481"/>
      <c r="AB266" s="348"/>
      <c r="AC266" s="348"/>
      <c r="AD266" s="348"/>
      <c r="AE266" s="348"/>
      <c r="AF266" s="392"/>
      <c r="AG266" s="348"/>
      <c r="AH266" s="348"/>
      <c r="AI266" s="1"/>
    </row>
    <row r="267" spans="1:35" s="109" customFormat="1">
      <c r="A267" s="240" t="s">
        <v>854</v>
      </c>
      <c r="B267" s="255" t="s">
        <v>152</v>
      </c>
      <c r="C267" s="102" t="s">
        <v>49</v>
      </c>
      <c r="D267" s="406" t="s">
        <v>1094</v>
      </c>
      <c r="E267" s="406" t="s">
        <v>1094</v>
      </c>
      <c r="F267" s="256" t="s">
        <v>1094</v>
      </c>
      <c r="G267" s="404" t="s">
        <v>1094</v>
      </c>
      <c r="H267" s="404" t="s">
        <v>1094</v>
      </c>
      <c r="I267" s="404" t="s">
        <v>883</v>
      </c>
      <c r="J267" s="404" t="s">
        <v>1094</v>
      </c>
      <c r="K267" s="248">
        <v>5.9999999999999995E-4</v>
      </c>
      <c r="L267" s="405" t="s">
        <v>883</v>
      </c>
      <c r="M267" s="405" t="s">
        <v>1094</v>
      </c>
      <c r="N267" s="405" t="s">
        <v>883</v>
      </c>
      <c r="O267" s="405" t="s">
        <v>1094</v>
      </c>
      <c r="P267" s="405" t="s">
        <v>1094</v>
      </c>
      <c r="Q267" s="405" t="s">
        <v>1094</v>
      </c>
      <c r="R267" s="405" t="s">
        <v>1094</v>
      </c>
      <c r="S267" s="405" t="s">
        <v>883</v>
      </c>
      <c r="T267" s="405" t="s">
        <v>1094</v>
      </c>
      <c r="U267" s="405" t="s">
        <v>883</v>
      </c>
      <c r="V267" s="348"/>
      <c r="W267" s="480"/>
      <c r="X267" s="480"/>
      <c r="Y267" s="93"/>
      <c r="Z267" s="348"/>
      <c r="AA267" s="481"/>
      <c r="AB267" s="348"/>
      <c r="AC267" s="348"/>
      <c r="AD267" s="348"/>
      <c r="AE267" s="348"/>
      <c r="AF267" s="392"/>
      <c r="AG267" s="348"/>
      <c r="AH267" s="348"/>
      <c r="AI267" s="1"/>
    </row>
    <row r="268" spans="1:35" s="109" customFormat="1">
      <c r="A268" s="240" t="s">
        <v>854</v>
      </c>
      <c r="B268" s="247" t="s">
        <v>288</v>
      </c>
      <c r="C268" s="102" t="s">
        <v>67</v>
      </c>
      <c r="D268" s="406" t="s">
        <v>883</v>
      </c>
      <c r="E268" s="406" t="s">
        <v>883</v>
      </c>
      <c r="F268" s="406" t="s">
        <v>1094</v>
      </c>
      <c r="G268" s="404" t="s">
        <v>1094</v>
      </c>
      <c r="H268" s="404" t="s">
        <v>883</v>
      </c>
      <c r="I268" s="404" t="s">
        <v>1094</v>
      </c>
      <c r="J268" s="404" t="s">
        <v>883</v>
      </c>
      <c r="K268" s="248">
        <v>1.40625E-2</v>
      </c>
      <c r="L268" s="405" t="s">
        <v>883</v>
      </c>
      <c r="M268" s="405" t="s">
        <v>1094</v>
      </c>
      <c r="N268" s="405" t="s">
        <v>883</v>
      </c>
      <c r="O268" s="405" t="s">
        <v>883</v>
      </c>
      <c r="P268" s="405" t="s">
        <v>883</v>
      </c>
      <c r="Q268" s="405" t="s">
        <v>883</v>
      </c>
      <c r="R268" s="405" t="s">
        <v>883</v>
      </c>
      <c r="S268" s="405" t="s">
        <v>883</v>
      </c>
      <c r="T268" s="405" t="s">
        <v>883</v>
      </c>
      <c r="U268" s="405" t="s">
        <v>883</v>
      </c>
      <c r="V268" s="348"/>
      <c r="W268" s="480"/>
      <c r="X268" s="480"/>
      <c r="Y268" s="93"/>
      <c r="Z268" s="348"/>
      <c r="AA268" s="481"/>
      <c r="AB268" s="348"/>
      <c r="AC268" s="348"/>
      <c r="AD268" s="348"/>
      <c r="AE268" s="348"/>
      <c r="AF268" s="392"/>
      <c r="AG268" s="348"/>
      <c r="AH268" s="348"/>
      <c r="AI268" s="1"/>
    </row>
    <row r="269" spans="1:35" s="109" customFormat="1">
      <c r="A269" s="240" t="s">
        <v>854</v>
      </c>
      <c r="B269" s="255" t="s">
        <v>164</v>
      </c>
      <c r="C269" s="102" t="s">
        <v>14</v>
      </c>
      <c r="D269" s="406" t="s">
        <v>883</v>
      </c>
      <c r="E269" s="256" t="s">
        <v>883</v>
      </c>
      <c r="F269" s="256" t="s">
        <v>1094</v>
      </c>
      <c r="G269" s="404" t="s">
        <v>1094</v>
      </c>
      <c r="H269" s="404" t="s">
        <v>1094</v>
      </c>
      <c r="I269" s="404" t="s">
        <v>1094</v>
      </c>
      <c r="J269" s="404" t="s">
        <v>1094</v>
      </c>
      <c r="K269" s="248">
        <v>8.8443396226415096E-4</v>
      </c>
      <c r="L269" s="405" t="s">
        <v>1094</v>
      </c>
      <c r="M269" s="405" t="s">
        <v>1094</v>
      </c>
      <c r="N269" s="405" t="s">
        <v>1094</v>
      </c>
      <c r="O269" s="405" t="s">
        <v>1094</v>
      </c>
      <c r="P269" s="405" t="s">
        <v>1094</v>
      </c>
      <c r="Q269" s="405" t="s">
        <v>1094</v>
      </c>
      <c r="R269" s="405" t="s">
        <v>1094</v>
      </c>
      <c r="S269" s="405" t="s">
        <v>1094</v>
      </c>
      <c r="T269" s="405" t="s">
        <v>1094</v>
      </c>
      <c r="U269" s="405" t="s">
        <v>1094</v>
      </c>
      <c r="V269" s="348"/>
      <c r="W269" s="480"/>
      <c r="X269" s="480"/>
      <c r="Y269" s="93"/>
      <c r="Z269" s="348"/>
      <c r="AA269" s="481"/>
      <c r="AB269" s="348"/>
      <c r="AC269" s="348"/>
      <c r="AD269" s="348"/>
      <c r="AE269" s="348"/>
      <c r="AF269" s="392"/>
      <c r="AG269" s="348"/>
      <c r="AH269" s="348"/>
      <c r="AI269" s="1"/>
    </row>
    <row r="270" spans="1:35" s="109" customFormat="1">
      <c r="A270" s="240" t="s">
        <v>854</v>
      </c>
      <c r="B270" s="255" t="s">
        <v>184</v>
      </c>
      <c r="C270" s="102" t="s">
        <v>858</v>
      </c>
      <c r="D270" s="406" t="s">
        <v>883</v>
      </c>
      <c r="E270" s="256" t="s">
        <v>1094</v>
      </c>
      <c r="F270" s="256" t="s">
        <v>883</v>
      </c>
      <c r="G270" s="404" t="s">
        <v>883</v>
      </c>
      <c r="H270" s="404" t="s">
        <v>1094</v>
      </c>
      <c r="I270" s="404" t="s">
        <v>883</v>
      </c>
      <c r="J270" s="404" t="s">
        <v>1094</v>
      </c>
      <c r="K270" s="248">
        <v>1.1904761904761905E-4</v>
      </c>
      <c r="L270" s="405" t="s">
        <v>1094</v>
      </c>
      <c r="M270" s="405" t="s">
        <v>1094</v>
      </c>
      <c r="N270" s="405" t="s">
        <v>1094</v>
      </c>
      <c r="O270" s="405" t="s">
        <v>1094</v>
      </c>
      <c r="P270" s="405" t="s">
        <v>1094</v>
      </c>
      <c r="Q270" s="405" t="s">
        <v>1094</v>
      </c>
      <c r="R270" s="405" t="s">
        <v>1094</v>
      </c>
      <c r="S270" s="405" t="s">
        <v>1094</v>
      </c>
      <c r="T270" s="405" t="s">
        <v>1094</v>
      </c>
      <c r="U270" s="405" t="s">
        <v>1094</v>
      </c>
      <c r="V270" s="348"/>
      <c r="W270" s="480"/>
      <c r="X270" s="480"/>
      <c r="Y270" s="93"/>
      <c r="Z270" s="348"/>
      <c r="AA270" s="481"/>
      <c r="AB270" s="348"/>
      <c r="AC270" s="348"/>
      <c r="AD270" s="348"/>
      <c r="AE270" s="348"/>
      <c r="AF270" s="392"/>
      <c r="AG270" s="348"/>
      <c r="AH270" s="348"/>
      <c r="AI270" s="1"/>
    </row>
    <row r="271" spans="1:35" s="109" customFormat="1">
      <c r="A271" s="506" t="s">
        <v>854</v>
      </c>
      <c r="B271" s="507" t="s">
        <v>11171</v>
      </c>
      <c r="C271" s="508" t="s">
        <v>11172</v>
      </c>
      <c r="D271" s="524" t="s">
        <v>883</v>
      </c>
      <c r="E271" s="524" t="s">
        <v>883</v>
      </c>
      <c r="F271" s="524" t="s">
        <v>1094</v>
      </c>
      <c r="G271" s="525" t="s">
        <v>1094</v>
      </c>
      <c r="H271" s="525" t="s">
        <v>883</v>
      </c>
      <c r="I271" s="525" t="s">
        <v>1094</v>
      </c>
      <c r="J271" s="525" t="s">
        <v>883</v>
      </c>
      <c r="K271" s="511">
        <v>9.3023255813953494E-4</v>
      </c>
      <c r="L271" s="511" t="s">
        <v>883</v>
      </c>
      <c r="M271" s="511" t="s">
        <v>1094</v>
      </c>
      <c r="N271" s="511" t="s">
        <v>883</v>
      </c>
      <c r="O271" s="511" t="s">
        <v>883</v>
      </c>
      <c r="P271" s="511" t="s">
        <v>883</v>
      </c>
      <c r="Q271" s="511" t="s">
        <v>1094</v>
      </c>
      <c r="R271" s="511" t="s">
        <v>883</v>
      </c>
      <c r="S271" s="511" t="s">
        <v>883</v>
      </c>
      <c r="T271" s="511" t="s">
        <v>883</v>
      </c>
      <c r="U271" s="511" t="s">
        <v>883</v>
      </c>
      <c r="V271" s="348"/>
      <c r="W271" s="480"/>
      <c r="X271" s="480"/>
      <c r="Y271" s="93"/>
      <c r="Z271" s="348"/>
      <c r="AA271" s="481"/>
      <c r="AB271" s="348"/>
      <c r="AC271" s="348"/>
      <c r="AD271" s="348"/>
      <c r="AE271" s="348"/>
      <c r="AF271" s="392"/>
      <c r="AG271" s="348"/>
      <c r="AH271" s="348"/>
      <c r="AI271" s="1"/>
    </row>
    <row r="272" spans="1:35" s="109" customFormat="1">
      <c r="A272" s="240" t="s">
        <v>854</v>
      </c>
      <c r="B272" s="255" t="s">
        <v>206</v>
      </c>
      <c r="C272" s="102" t="s">
        <v>108</v>
      </c>
      <c r="D272" s="256" t="s">
        <v>1094</v>
      </c>
      <c r="E272" s="256" t="s">
        <v>1094</v>
      </c>
      <c r="F272" s="256" t="s">
        <v>883</v>
      </c>
      <c r="G272" s="404" t="s">
        <v>1094</v>
      </c>
      <c r="H272" s="404" t="s">
        <v>1094</v>
      </c>
      <c r="I272" s="404" t="s">
        <v>883</v>
      </c>
      <c r="J272" s="404" t="s">
        <v>883</v>
      </c>
      <c r="K272" s="248">
        <v>1.6520589872008905E-4</v>
      </c>
      <c r="L272" s="405" t="s">
        <v>1094</v>
      </c>
      <c r="M272" s="405" t="s">
        <v>1094</v>
      </c>
      <c r="N272" s="405" t="s">
        <v>1094</v>
      </c>
      <c r="O272" s="405" t="s">
        <v>1094</v>
      </c>
      <c r="P272" s="405" t="s">
        <v>1094</v>
      </c>
      <c r="Q272" s="405" t="s">
        <v>1094</v>
      </c>
      <c r="R272" s="405" t="s">
        <v>1094</v>
      </c>
      <c r="S272" s="405" t="s">
        <v>1094</v>
      </c>
      <c r="T272" s="405" t="s">
        <v>1094</v>
      </c>
      <c r="U272" s="405" t="s">
        <v>1094</v>
      </c>
      <c r="V272" s="348"/>
      <c r="W272" s="480"/>
      <c r="X272" s="480"/>
      <c r="Y272" s="93"/>
      <c r="Z272" s="348"/>
      <c r="AA272" s="481"/>
      <c r="AB272" s="348"/>
      <c r="AC272" s="348"/>
      <c r="AD272" s="348"/>
      <c r="AE272" s="348"/>
      <c r="AF272" s="392"/>
      <c r="AG272" s="348"/>
      <c r="AH272" s="348"/>
      <c r="AI272" s="1"/>
    </row>
    <row r="273" spans="1:35" s="109" customFormat="1">
      <c r="A273" s="240" t="s">
        <v>854</v>
      </c>
      <c r="B273" s="255" t="s">
        <v>130</v>
      </c>
      <c r="C273" s="102" t="s">
        <v>26</v>
      </c>
      <c r="D273" s="406" t="s">
        <v>883</v>
      </c>
      <c r="E273" s="406" t="s">
        <v>883</v>
      </c>
      <c r="F273" s="256" t="s">
        <v>1094</v>
      </c>
      <c r="G273" s="404" t="s">
        <v>1094</v>
      </c>
      <c r="H273" s="404" t="s">
        <v>1094</v>
      </c>
      <c r="I273" s="404" t="s">
        <v>1094</v>
      </c>
      <c r="J273" s="404" t="s">
        <v>883</v>
      </c>
      <c r="K273" s="248">
        <v>1.3793103448275861E-3</v>
      </c>
      <c r="L273" s="405" t="s">
        <v>1094</v>
      </c>
      <c r="M273" s="405" t="s">
        <v>1094</v>
      </c>
      <c r="N273" s="405" t="s">
        <v>1094</v>
      </c>
      <c r="O273" s="405" t="s">
        <v>1094</v>
      </c>
      <c r="P273" s="405" t="s">
        <v>1094</v>
      </c>
      <c r="Q273" s="405" t="s">
        <v>1094</v>
      </c>
      <c r="R273" s="405" t="s">
        <v>1094</v>
      </c>
      <c r="S273" s="405" t="s">
        <v>1094</v>
      </c>
      <c r="T273" s="405" t="s">
        <v>1094</v>
      </c>
      <c r="U273" s="405" t="s">
        <v>1094</v>
      </c>
      <c r="V273" s="348"/>
      <c r="W273" s="480"/>
      <c r="X273" s="480"/>
      <c r="Y273" s="93"/>
      <c r="Z273" s="348"/>
      <c r="AA273" s="481"/>
      <c r="AB273" s="348"/>
      <c r="AC273" s="348"/>
      <c r="AD273" s="348"/>
      <c r="AE273" s="348"/>
      <c r="AF273" s="392"/>
      <c r="AG273" s="348"/>
      <c r="AH273" s="348"/>
      <c r="AI273" s="1"/>
    </row>
    <row r="274" spans="1:35" s="109" customFormat="1">
      <c r="A274" s="240" t="s">
        <v>854</v>
      </c>
      <c r="B274" s="255" t="s">
        <v>215</v>
      </c>
      <c r="C274" s="102" t="s">
        <v>115</v>
      </c>
      <c r="D274" s="406" t="s">
        <v>883</v>
      </c>
      <c r="E274" s="256" t="s">
        <v>883</v>
      </c>
      <c r="F274" s="256" t="s">
        <v>1094</v>
      </c>
      <c r="G274" s="404" t="s">
        <v>1094</v>
      </c>
      <c r="H274" s="404" t="s">
        <v>1094</v>
      </c>
      <c r="I274" s="404" t="s">
        <v>1094</v>
      </c>
      <c r="J274" s="404" t="s">
        <v>883</v>
      </c>
      <c r="K274" s="248">
        <v>2.2058823529411763E-6</v>
      </c>
      <c r="L274" s="405" t="s">
        <v>883</v>
      </c>
      <c r="M274" s="405" t="s">
        <v>1094</v>
      </c>
      <c r="N274" s="405" t="s">
        <v>883</v>
      </c>
      <c r="O274" s="405" t="s">
        <v>883</v>
      </c>
      <c r="P274" s="405" t="s">
        <v>1094</v>
      </c>
      <c r="Q274" s="405" t="s">
        <v>883</v>
      </c>
      <c r="R274" s="405" t="s">
        <v>1094</v>
      </c>
      <c r="S274" s="405" t="s">
        <v>1094</v>
      </c>
      <c r="T274" s="405" t="s">
        <v>1094</v>
      </c>
      <c r="U274" s="405" t="s">
        <v>883</v>
      </c>
      <c r="V274" s="348"/>
      <c r="W274" s="480"/>
      <c r="X274" s="480"/>
      <c r="Y274" s="93"/>
      <c r="Z274" s="348"/>
      <c r="AA274" s="481"/>
      <c r="AB274" s="348"/>
      <c r="AC274" s="348"/>
      <c r="AD274" s="348"/>
      <c r="AE274" s="348"/>
      <c r="AF274" s="392"/>
      <c r="AG274" s="348"/>
      <c r="AH274" s="348"/>
      <c r="AI274" s="1"/>
    </row>
    <row r="275" spans="1:35" s="109" customFormat="1">
      <c r="A275" s="240" t="s">
        <v>854</v>
      </c>
      <c r="B275" s="247" t="s">
        <v>154</v>
      </c>
      <c r="C275" s="102" t="s">
        <v>52</v>
      </c>
      <c r="D275" s="406" t="s">
        <v>883</v>
      </c>
      <c r="E275" s="406" t="s">
        <v>883</v>
      </c>
      <c r="F275" s="406" t="s">
        <v>1094</v>
      </c>
      <c r="G275" s="404" t="s">
        <v>1094</v>
      </c>
      <c r="H275" s="404" t="s">
        <v>883</v>
      </c>
      <c r="I275" s="404" t="s">
        <v>883</v>
      </c>
      <c r="J275" s="404" t="s">
        <v>883</v>
      </c>
      <c r="K275" s="248">
        <v>2.142857142857143E-3</v>
      </c>
      <c r="L275" s="405" t="s">
        <v>1094</v>
      </c>
      <c r="M275" s="405" t="s">
        <v>1094</v>
      </c>
      <c r="N275" s="405" t="s">
        <v>1094</v>
      </c>
      <c r="O275" s="405" t="s">
        <v>1094</v>
      </c>
      <c r="P275" s="405" t="s">
        <v>1094</v>
      </c>
      <c r="Q275" s="405" t="s">
        <v>1094</v>
      </c>
      <c r="R275" s="405" t="s">
        <v>1094</v>
      </c>
      <c r="S275" s="405" t="s">
        <v>1094</v>
      </c>
      <c r="T275" s="405" t="s">
        <v>1094</v>
      </c>
      <c r="U275" s="405" t="s">
        <v>1094</v>
      </c>
      <c r="V275" s="348"/>
      <c r="W275" s="480"/>
      <c r="X275" s="480"/>
      <c r="Y275" s="93"/>
      <c r="Z275" s="348"/>
      <c r="AA275" s="481"/>
      <c r="AB275" s="348"/>
      <c r="AC275" s="348"/>
      <c r="AD275" s="348"/>
      <c r="AE275" s="348"/>
      <c r="AF275" s="392"/>
      <c r="AG275" s="348"/>
      <c r="AH275" s="348"/>
      <c r="AI275" s="1"/>
    </row>
    <row r="276" spans="1:35">
      <c r="A276" s="240" t="s">
        <v>854</v>
      </c>
      <c r="B276" s="247" t="s">
        <v>149</v>
      </c>
      <c r="C276" s="102" t="s">
        <v>47</v>
      </c>
      <c r="D276" s="406" t="s">
        <v>883</v>
      </c>
      <c r="E276" s="406" t="s">
        <v>883</v>
      </c>
      <c r="F276" s="406" t="s">
        <v>1094</v>
      </c>
      <c r="G276" s="404" t="s">
        <v>1094</v>
      </c>
      <c r="H276" s="404" t="s">
        <v>883</v>
      </c>
      <c r="I276" s="404" t="s">
        <v>1094</v>
      </c>
      <c r="J276" s="404" t="s">
        <v>883</v>
      </c>
      <c r="K276" s="248">
        <v>4.2857142857142859E-3</v>
      </c>
      <c r="L276" s="405" t="s">
        <v>883</v>
      </c>
      <c r="M276" s="405" t="s">
        <v>1094</v>
      </c>
      <c r="N276" s="405" t="s">
        <v>1094</v>
      </c>
      <c r="O276" s="405" t="s">
        <v>883</v>
      </c>
      <c r="P276" s="405" t="s">
        <v>883</v>
      </c>
      <c r="Q276" s="405" t="s">
        <v>1094</v>
      </c>
      <c r="R276" s="405" t="s">
        <v>883</v>
      </c>
      <c r="S276" s="405" t="s">
        <v>1094</v>
      </c>
      <c r="T276" s="405" t="s">
        <v>883</v>
      </c>
      <c r="U276" s="405" t="s">
        <v>883</v>
      </c>
    </row>
    <row r="277" spans="1:35">
      <c r="A277" s="240" t="s">
        <v>854</v>
      </c>
      <c r="B277" s="255" t="s">
        <v>129</v>
      </c>
      <c r="C277" s="102" t="s">
        <v>25</v>
      </c>
      <c r="D277" s="406" t="s">
        <v>883</v>
      </c>
      <c r="E277" s="256" t="s">
        <v>883</v>
      </c>
      <c r="F277" s="256" t="s">
        <v>1094</v>
      </c>
      <c r="G277" s="404" t="s">
        <v>1094</v>
      </c>
      <c r="H277" s="404" t="s">
        <v>1094</v>
      </c>
      <c r="I277" s="404" t="s">
        <v>1094</v>
      </c>
      <c r="J277" s="404" t="s">
        <v>883</v>
      </c>
      <c r="K277" s="248">
        <v>2.0833333333333335E-4</v>
      </c>
      <c r="L277" s="405" t="s">
        <v>883</v>
      </c>
      <c r="M277" s="405" t="s">
        <v>1094</v>
      </c>
      <c r="N277" s="405" t="s">
        <v>883</v>
      </c>
      <c r="O277" s="405" t="s">
        <v>883</v>
      </c>
      <c r="P277" s="405" t="s">
        <v>883</v>
      </c>
      <c r="Q277" s="405" t="s">
        <v>883</v>
      </c>
      <c r="R277" s="405" t="s">
        <v>1094</v>
      </c>
      <c r="S277" s="405" t="s">
        <v>883</v>
      </c>
      <c r="T277" s="405" t="s">
        <v>1094</v>
      </c>
      <c r="U277" s="405" t="s">
        <v>1094</v>
      </c>
    </row>
    <row r="278" spans="1:35">
      <c r="A278" s="240"/>
      <c r="B278" s="255"/>
      <c r="C278" s="102"/>
      <c r="D278" s="406"/>
      <c r="E278" s="406"/>
      <c r="F278" s="256"/>
      <c r="G278" s="404"/>
      <c r="H278" s="404"/>
      <c r="I278" s="404"/>
      <c r="J278" s="404"/>
      <c r="K278" s="248"/>
      <c r="L278" s="405"/>
      <c r="M278" s="405"/>
      <c r="N278" s="405"/>
      <c r="O278" s="405"/>
      <c r="P278" s="405"/>
      <c r="Q278" s="405"/>
      <c r="R278" s="405"/>
      <c r="S278" s="405"/>
      <c r="T278" s="405"/>
      <c r="U278" s="405"/>
    </row>
    <row r="279" spans="1:35">
      <c r="A279" s="240"/>
      <c r="B279" s="255"/>
      <c r="C279" s="102"/>
      <c r="D279" s="406"/>
      <c r="E279" s="256"/>
      <c r="F279" s="256"/>
      <c r="G279" s="404"/>
      <c r="H279" s="404"/>
      <c r="I279" s="404"/>
      <c r="J279" s="404"/>
      <c r="K279" s="248"/>
      <c r="L279" s="405"/>
      <c r="M279" s="405"/>
      <c r="N279" s="405"/>
      <c r="O279" s="405"/>
      <c r="P279" s="405"/>
      <c r="Q279" s="405"/>
      <c r="R279" s="405"/>
      <c r="S279" s="405"/>
      <c r="T279" s="405"/>
      <c r="U279" s="405"/>
    </row>
    <row r="280" spans="1:35">
      <c r="A280" s="240"/>
      <c r="B280" s="247"/>
      <c r="C280" s="102"/>
      <c r="D280" s="406"/>
      <c r="E280" s="406"/>
      <c r="F280" s="406"/>
      <c r="G280" s="404"/>
      <c r="H280" s="404"/>
      <c r="I280" s="404"/>
      <c r="J280" s="404"/>
      <c r="K280" s="248"/>
      <c r="L280" s="405"/>
      <c r="M280" s="405"/>
      <c r="N280" s="405"/>
      <c r="O280" s="405"/>
      <c r="P280" s="405"/>
      <c r="Q280" s="405"/>
      <c r="R280" s="405"/>
      <c r="S280" s="405"/>
      <c r="T280" s="405"/>
      <c r="U280" s="405"/>
    </row>
    <row r="281" spans="1:35">
      <c r="A281" s="240"/>
      <c r="B281" s="247"/>
      <c r="C281" s="102"/>
      <c r="D281" s="406"/>
      <c r="E281" s="406"/>
      <c r="F281" s="406"/>
      <c r="G281" s="404"/>
      <c r="H281" s="404"/>
      <c r="I281" s="404"/>
      <c r="J281" s="404"/>
      <c r="K281" s="248"/>
      <c r="L281" s="405"/>
      <c r="M281" s="405"/>
      <c r="N281" s="405"/>
      <c r="O281" s="405"/>
      <c r="P281" s="405"/>
      <c r="Q281" s="405"/>
      <c r="R281" s="405"/>
      <c r="S281" s="405"/>
      <c r="T281" s="405"/>
      <c r="U281" s="405"/>
    </row>
    <row r="282" spans="1:35">
      <c r="A282" s="240"/>
      <c r="B282" s="255"/>
      <c r="C282" s="102"/>
      <c r="D282" s="406"/>
      <c r="E282" s="256"/>
      <c r="F282" s="256"/>
      <c r="G282" s="404"/>
      <c r="H282" s="404"/>
      <c r="I282" s="404"/>
      <c r="J282" s="404"/>
      <c r="K282" s="248"/>
      <c r="L282" s="405"/>
      <c r="M282" s="405"/>
      <c r="N282" s="405"/>
      <c r="O282" s="405"/>
      <c r="P282" s="405"/>
      <c r="Q282" s="405"/>
      <c r="R282" s="405"/>
      <c r="S282" s="405"/>
      <c r="T282" s="405"/>
      <c r="U282" s="405"/>
    </row>
    <row r="304" spans="25:26">
      <c r="Y304" s="229">
        <v>20</v>
      </c>
      <c r="Z304" s="226">
        <v>320</v>
      </c>
    </row>
    <row r="318" spans="1:26">
      <c r="Y318" s="229">
        <v>80</v>
      </c>
      <c r="Z318" s="226">
        <v>1280</v>
      </c>
    </row>
    <row r="319" spans="1:26">
      <c r="A319" s="475"/>
      <c r="B319" s="475"/>
      <c r="C319" s="476"/>
      <c r="Y319" s="229">
        <v>120</v>
      </c>
      <c r="Z319" s="226">
        <v>1920</v>
      </c>
    </row>
    <row r="320" spans="1:26">
      <c r="A320" s="475"/>
      <c r="B320" s="475"/>
      <c r="Y320" s="229">
        <v>200</v>
      </c>
      <c r="Z320" s="226">
        <v>3200</v>
      </c>
    </row>
    <row r="321" spans="1:34">
      <c r="A321" s="475"/>
      <c r="B321" s="475"/>
      <c r="Y321" s="229">
        <v>40</v>
      </c>
      <c r="Z321" s="226">
        <v>640</v>
      </c>
    </row>
    <row r="322" spans="1:34">
      <c r="A322" s="475"/>
      <c r="B322" s="475"/>
      <c r="Y322" s="229">
        <v>200</v>
      </c>
      <c r="Z322" s="226">
        <v>3200</v>
      </c>
    </row>
    <row r="323" spans="1:34">
      <c r="A323" s="475"/>
      <c r="B323" s="475"/>
      <c r="Y323" s="229">
        <v>8</v>
      </c>
      <c r="Z323" s="226">
        <v>120</v>
      </c>
    </row>
    <row r="324" spans="1:34">
      <c r="A324" s="475"/>
      <c r="B324" s="475"/>
      <c r="Y324" s="229">
        <v>60</v>
      </c>
      <c r="Z324" s="226">
        <v>960</v>
      </c>
    </row>
    <row r="325" spans="1:34">
      <c r="A325" s="475"/>
      <c r="B325" s="475"/>
      <c r="H325" s="477"/>
      <c r="Y325" s="229">
        <v>30</v>
      </c>
      <c r="Z325" s="226">
        <v>480</v>
      </c>
      <c r="AA325" s="230">
        <v>6200</v>
      </c>
      <c r="AE325" s="475" t="s">
        <v>294</v>
      </c>
      <c r="AH325" s="475" t="s">
        <v>946</v>
      </c>
    </row>
    <row r="326" spans="1:34">
      <c r="A326" s="475"/>
      <c r="B326" s="475"/>
      <c r="Y326" s="229">
        <v>20</v>
      </c>
      <c r="Z326" s="226">
        <v>300</v>
      </c>
      <c r="AA326" s="230">
        <v>63000</v>
      </c>
      <c r="AE326" s="475" t="s">
        <v>294</v>
      </c>
      <c r="AH326" s="475" t="s">
        <v>946</v>
      </c>
    </row>
    <row r="327" spans="1:34">
      <c r="A327" s="475"/>
      <c r="B327" s="475"/>
      <c r="Y327" s="229">
        <v>90</v>
      </c>
      <c r="Z327" s="226">
        <v>1440</v>
      </c>
      <c r="AA327" s="230">
        <v>13500</v>
      </c>
      <c r="AE327" s="475" t="s">
        <v>294</v>
      </c>
    </row>
    <row r="328" spans="1:34">
      <c r="A328" s="475"/>
      <c r="B328" s="475"/>
      <c r="Y328" s="229">
        <v>133</v>
      </c>
      <c r="Z328" s="226">
        <v>2124</v>
      </c>
      <c r="AA328" s="230">
        <v>73000</v>
      </c>
      <c r="AE328" s="475" t="s">
        <v>290</v>
      </c>
      <c r="AH328" s="475" t="s">
        <v>946</v>
      </c>
    </row>
    <row r="329" spans="1:34">
      <c r="A329" s="475"/>
      <c r="B329" s="475"/>
      <c r="Y329" s="229">
        <v>333</v>
      </c>
      <c r="Z329" s="226">
        <v>5333</v>
      </c>
      <c r="AE329" s="475" t="s">
        <v>294</v>
      </c>
      <c r="AH329" s="475" t="s">
        <v>946</v>
      </c>
    </row>
    <row r="677" spans="1:2">
      <c r="A677" s="475"/>
      <c r="B677" s="475"/>
    </row>
  </sheetData>
  <mergeCells count="3">
    <mergeCell ref="D1:F1"/>
    <mergeCell ref="G1:J1"/>
    <mergeCell ref="L1:U1"/>
  </mergeCells>
  <phoneticPr fontId="27" type="noConversion"/>
  <hyperlinks>
    <hyperlink ref="C29" r:id="rId1" tooltip="Link to Plant Profile" display="http://plants.usda.gov/java/profile?symbol=ELPA3"/>
    <hyperlink ref="C23" r:id="rId2" tooltip="Link to Plant Profile" display="http://plants.usda.gov/java/profile?symbol=ELCA4"/>
    <hyperlink ref="C5" r:id="rId3" tooltip="Link to Plant Profile" display="http://plants.usda.gov/java/profile?symbol=GLGR"/>
    <hyperlink ref="C40" r:id="rId4" tooltip="Link to Plant Profile" display="http://plants.usda.gov/java/profile?symbol=GLST"/>
    <hyperlink ref="C42" r:id="rId5" tooltip="Link to Plant Profile" display="http://plants.usda.gov/java/profile?symbol=HOJU"/>
    <hyperlink ref="C35" r:id="rId6" tooltip="Link to Plant Profile" display="http://plants.usda.gov/java/profile?symbol=ELHY"/>
    <hyperlink ref="C9" r:id="rId7" tooltip="Link to Plant Profile" display="http://plants.usda.gov/java/profile?symbol=JUARL"/>
    <hyperlink ref="C34" r:id="rId8" tooltip="Link to Plant Profile" display="http://plants.usda.gov/java/profile?symbol=JUDU2"/>
    <hyperlink ref="C28" r:id="rId9" tooltip="Link to Plant Profile" display="http://plants.usda.gov/java/profile?symbol=JUEF"/>
    <hyperlink ref="C39" r:id="rId10" tooltip="Link to Plant Profile" display="http://plants.usda.gov/java/profile?symbol=POPA2"/>
    <hyperlink ref="C30" r:id="rId11" tooltip="Link to Plant Profile" display="http://plants.usda.gov/java/profile?symbol=SCPU10"/>
    <hyperlink ref="C36" r:id="rId12" tooltip="Link to Plant Profile" display="http://plants.usda.gov/java/profile?symbol=TRDA3"/>
    <hyperlink ref="C49" r:id="rId13" tooltip="Link to Plant Profile" display="http://plants.usda.gov/java/profile?symbol=CYLU2"/>
    <hyperlink ref="C41" r:id="rId14" tooltip="Link to Plant Profile" display="http://plants.usda.gov/java/profile?symbol=CAVU2"/>
    <hyperlink ref="C13" r:id="rId15" tooltip="Link to Plant Profile" display="http://plants.usda.gov/java/profile?symbol=CAVE6"/>
    <hyperlink ref="C16" r:id="rId16" tooltip="Link to Plant Profile" display="http://plants.usda.gov/java/profile?symbol=CATR7"/>
    <hyperlink ref="C33" r:id="rId17" tooltip="Link to Plant Profile" display="http://plants.usda.gov/java/profile?symbol=CAST16"/>
    <hyperlink ref="C20" r:id="rId18" tooltip="Link to Plant Profile" display="http://plants.usda.gov/java/profile?symbol=CASC11"/>
    <hyperlink ref="C18" r:id="rId19" tooltip="Link to Plant Profile" display="http://plants.usda.gov/java/profile?symbol=CAHY4"/>
    <hyperlink ref="C46" r:id="rId20" tooltip="Link to Plant Profile" display="http://plants.usda.gov/java/profile?symbol=CAHI6"/>
    <hyperlink ref="C48" r:id="rId21" tooltip="Link to Plant Profile" display="http://plants.usda.gov/java/profile?symbol=CAGR5"/>
    <hyperlink ref="C43" r:id="rId22" tooltip="Link to Plant Profile" display="http://plants.usda.gov/java/profile?symbol=CAFR3"/>
    <hyperlink ref="C32" r:id="rId23" tooltip="Link to Plant Profile" display="http://plants.usda.gov/java/profile?symbol=CACR7"/>
    <hyperlink ref="C45" r:id="rId24" tooltip="Link to Plant Profile" display="http://plants.usda.gov/java/profile?symbol=CACR6"/>
    <hyperlink ref="C11" r:id="rId25" tooltip="Link to Plant Profile" display="http://plants.usda.gov/java/profile?symbol=CABI3"/>
    <hyperlink ref="C10" r:id="rId26" tooltip="Link to Plant Profile" display="http://plants.usda.gov/java/profile?symbol=CABE2"/>
    <hyperlink ref="C15" r:id="rId27" tooltip="Link to Plant Profile" display="http://plants.usda.gov/java/profile?symbol=CACA4"/>
    <hyperlink ref="C7" r:id="rId28" tooltip="Link to Plant Profile" display="http://plants.usda.gov/java/profile?symbol=BRKA2"/>
    <hyperlink ref="C44" r:id="rId29" tooltip="Link to Plant Profile" display="http://plants.usda.gov/java/profile?symbol=BRCI2"/>
    <hyperlink ref="C14" r:id="rId30" tooltip="Link to Plant Profile" display="http://plants.usda.gov/java/profile?symbol=BOGR2"/>
    <hyperlink ref="C12" r:id="rId31" tooltip="Link to Plant Profile" display="http://plants.usda.gov/java/profile?symbol=ANGE"/>
    <hyperlink ref="C6" r:id="rId32" display="http://plants.usda.gov/java/profile?symbol=BESY"/>
    <hyperlink ref="C47" r:id="rId33" display="http://plants.usda.gov/java/profile?symbol=CAGR2"/>
    <hyperlink ref="C21" r:id="rId34" display="http://plants.usda.gov/java/profile?symbol=CASP3"/>
    <hyperlink ref="C26" r:id="rId35" display="http://plants.usda.gov/java/profile?symbol=CATY"/>
    <hyperlink ref="C4" r:id="rId36" display="http://plants.usda.gov/java/profile?symbol=DIAM"/>
    <hyperlink ref="C17" r:id="rId37" display="http://plants.usda.gov/java/profile?symbol=ELOB2"/>
    <hyperlink ref="C24" r:id="rId38" display="http://plants.usda.gov/java/profile?symbol=JUCA3"/>
    <hyperlink ref="C79" r:id="rId39" tooltip="Link to Plant Profile" display="http://plants.usda.gov/java/profile?symbol=ELPA3"/>
    <hyperlink ref="C101" r:id="rId40" tooltip="Link to Plant Profile" display="http://plants.usda.gov/java/profile?symbol=GLST"/>
    <hyperlink ref="C55" r:id="rId41" tooltip="Link to Plant Profile" display="http://plants.usda.gov/java/profile?symbol=HOJU"/>
    <hyperlink ref="C132" r:id="rId42" tooltip="Link to Plant Profile" display="http://plants.usda.gov/java/profile?symbol=ELHY"/>
    <hyperlink ref="C95" r:id="rId43" tooltip="Link to Plant Profile" display="http://plants.usda.gov/java/profile?symbol=JUARL"/>
    <hyperlink ref="C65" r:id="rId44" tooltip="Link to Plant Profile" display="http://plants.usda.gov/java/profile?symbol=CAVE6"/>
    <hyperlink ref="C88" r:id="rId45" tooltip="Link to Plant Profile" display="http://plants.usda.gov/java/profile?symbol=CATR7"/>
    <hyperlink ref="C128" r:id="rId46" tooltip="Link to Plant Profile" display="http://plants.usda.gov/java/profile?symbol=CAST16"/>
    <hyperlink ref="C91" r:id="rId47" tooltip="Link to Plant Profile" display="http://plants.usda.gov/java/profile?symbol=CASC11"/>
    <hyperlink ref="C99" r:id="rId48" tooltip="Link to Plant Profile" display="http://plants.usda.gov/java/profile?symbol=CAHY4"/>
    <hyperlink ref="C85" r:id="rId49" tooltip="Link to Plant Profile" display="http://plants.usda.gov/java/profile?symbol=CAHI6"/>
    <hyperlink ref="C119" r:id="rId50" tooltip="Link to Plant Profile" display="http://plants.usda.gov/java/profile?symbol=CAGR5"/>
    <hyperlink ref="C75" r:id="rId51" tooltip="Link to Plant Profile" display="http://plants.usda.gov/java/profile?symbol=CAFR3"/>
    <hyperlink ref="C74" r:id="rId52" tooltip="Link to Plant Profile" display="http://plants.usda.gov/java/profile?symbol=CACR7"/>
    <hyperlink ref="C124" r:id="rId53" tooltip="Link to Plant Profile" display="http://plants.usda.gov/java/profile?symbol=CACR6"/>
    <hyperlink ref="C58" r:id="rId54" tooltip="Link to Plant Profile" display="http://plants.usda.gov/java/profile?symbol=CABE2"/>
    <hyperlink ref="C51" r:id="rId55" tooltip="Link to Plant Profile" display="http://plants.usda.gov/java/profile?symbol=CACA4"/>
    <hyperlink ref="C136" r:id="rId56" tooltip="Link to Plant Profile" display="http://plants.usda.gov/java/profile?symbol=BRKA2"/>
    <hyperlink ref="C100" r:id="rId57" tooltip="Link to Plant Profile" display="http://plants.usda.gov/java/profile?symbol=BRCI2"/>
    <hyperlink ref="C63" r:id="rId58" tooltip="Link to Plant Profile" display="http://plants.usda.gov/java/profile?symbol=BOGR2"/>
    <hyperlink ref="C89" r:id="rId59" tooltip="Link to Plant Profile" display="http://plants.usda.gov/java/profile?symbol=ANGE"/>
    <hyperlink ref="C105" r:id="rId60" display="http://plants.usda.gov/java/profile?symbol=BESY"/>
    <hyperlink ref="C90" r:id="rId61" display="http://plants.usda.gov/java/profile?symbol=CAGR2"/>
    <hyperlink ref="C86" r:id="rId62" display="http://plants.usda.gov/java/profile?symbol=CASP3"/>
    <hyperlink ref="C52" r:id="rId63" display="http://plants.usda.gov/java/profile?symbol=CATY"/>
    <hyperlink ref="C96" r:id="rId64" display="http://plants.usda.gov/java/profile?symbol=DIAM"/>
    <hyperlink ref="C62" r:id="rId65" display="http://plants.usda.gov/java/profile?symbol=JUCA3"/>
  </hyperlinks>
  <printOptions headings="1"/>
  <pageMargins left="0.2" right="0.2" top="0.2" bottom="0.3" header="0.2" footer="0.2"/>
  <pageSetup scale="37" fitToHeight="20" orientation="landscape" r:id="rId66"/>
  <headerFooter alignWithMargins="0">
    <oddFooter>&amp;L&amp;"Arial,Bold"&amp;K06-049Iowa Natural Resources Conservation Service&amp;C&amp;"Arial,Bold"&amp;K06-049Native Seeding Calculator Graminoid Species List&amp;R&amp;"Arial,Bold"&amp;K06-049&amp;D</oddFooter>
  </headerFooter>
</worksheet>
</file>

<file path=xl/worksheets/sheet5.xml><?xml version="1.0" encoding="utf-8"?>
<worksheet xmlns="http://schemas.openxmlformats.org/spreadsheetml/2006/main" xmlns:r="http://schemas.openxmlformats.org/officeDocument/2006/relationships">
  <sheetPr codeName="ForbesLegumes">
    <tabColor theme="0" tint="-0.499984740745262"/>
    <pageSetUpPr fitToPage="1"/>
  </sheetPr>
  <dimension ref="A1:AO709"/>
  <sheetViews>
    <sheetView zoomScaleNormal="100" workbookViewId="0">
      <pane xSplit="3" ySplit="2" topLeftCell="D3" activePane="bottomRight" state="frozen"/>
      <selection pane="topRight" activeCell="D1" sqref="D1"/>
      <selection pane="bottomLeft" activeCell="A3" sqref="A3"/>
      <selection pane="bottomRight"/>
    </sheetView>
  </sheetViews>
  <sheetFormatPr defaultRowHeight="12.75"/>
  <cols>
    <col min="1" max="1" width="17.7109375" style="264" bestFit="1" customWidth="1"/>
    <col min="2" max="2" width="27.7109375" style="264" bestFit="1" customWidth="1"/>
    <col min="3" max="3" width="42.85546875" style="265" bestFit="1" customWidth="1"/>
    <col min="4" max="4" width="7" style="326" customWidth="1"/>
    <col min="5" max="5" width="7.7109375" style="326" customWidth="1"/>
    <col min="6" max="6" width="7" style="326" customWidth="1"/>
    <col min="7" max="9" width="8.140625" style="267" customWidth="1"/>
    <col min="10" max="10" width="9.140625" style="267" customWidth="1"/>
    <col min="11" max="11" width="10.85546875" style="264" customWidth="1"/>
    <col min="12" max="12" width="6" style="267" customWidth="1"/>
    <col min="13" max="15" width="5.140625" style="264" customWidth="1"/>
    <col min="16" max="16" width="4.7109375" style="264" customWidth="1"/>
    <col min="17" max="17" width="4.42578125" style="264" customWidth="1"/>
    <col min="18" max="18" width="4.7109375" style="264" customWidth="1"/>
    <col min="19" max="19" width="4.85546875" style="264" customWidth="1"/>
    <col min="20" max="21" width="5.28515625" style="264" customWidth="1"/>
    <col min="22" max="22" width="12.7109375" style="264" customWidth="1"/>
    <col min="23" max="23" width="10" style="266" customWidth="1"/>
    <col min="24" max="24" width="9" style="266" customWidth="1"/>
    <col min="25" max="25" width="9.140625" style="267"/>
    <col min="26" max="27" width="10.28515625" style="264" bestFit="1" customWidth="1"/>
    <col min="28" max="30" width="9.140625" style="264"/>
    <col min="31" max="31" width="21.5703125" style="264" customWidth="1"/>
    <col min="32" max="32" width="13" style="268" bestFit="1" customWidth="1"/>
    <col min="33" max="33" width="25.5703125" style="264" bestFit="1" customWidth="1"/>
    <col min="34" max="34" width="25.140625" style="269" customWidth="1"/>
    <col min="35" max="16384" width="9.140625" style="30"/>
  </cols>
  <sheetData>
    <row r="1" spans="1:41">
      <c r="D1" s="812" t="s">
        <v>855</v>
      </c>
      <c r="E1" s="812"/>
      <c r="F1" s="812"/>
      <c r="G1" s="812" t="s">
        <v>1098</v>
      </c>
      <c r="H1" s="812"/>
      <c r="I1" s="812"/>
      <c r="J1" s="812"/>
      <c r="L1" s="813" t="s">
        <v>1102</v>
      </c>
      <c r="M1" s="814"/>
      <c r="N1" s="814"/>
      <c r="O1" s="814"/>
      <c r="P1" s="814"/>
      <c r="Q1" s="814"/>
      <c r="R1" s="814"/>
      <c r="S1" s="814"/>
      <c r="T1" s="814"/>
      <c r="U1" s="815"/>
    </row>
    <row r="2" spans="1:41" s="218" customFormat="1" ht="51">
      <c r="A2" s="270" t="s">
        <v>852</v>
      </c>
      <c r="B2" s="451" t="s">
        <v>857</v>
      </c>
      <c r="C2" s="272" t="s">
        <v>885</v>
      </c>
      <c r="D2" s="270" t="s">
        <v>1091</v>
      </c>
      <c r="E2" s="270" t="s">
        <v>1092</v>
      </c>
      <c r="F2" s="270" t="s">
        <v>1093</v>
      </c>
      <c r="G2" s="238" t="s">
        <v>1095</v>
      </c>
      <c r="H2" s="238" t="s">
        <v>1096</v>
      </c>
      <c r="I2" s="238" t="s">
        <v>1097</v>
      </c>
      <c r="J2" s="238" t="s">
        <v>1099</v>
      </c>
      <c r="K2" s="376" t="s">
        <v>1291</v>
      </c>
      <c r="L2" s="238" t="s">
        <v>1101</v>
      </c>
      <c r="M2" s="238" t="s">
        <v>1012</v>
      </c>
      <c r="N2" s="238" t="s">
        <v>1100</v>
      </c>
      <c r="O2" s="238" t="s">
        <v>1007</v>
      </c>
      <c r="P2" s="238" t="s">
        <v>1005</v>
      </c>
      <c r="Q2" s="238" t="s">
        <v>1009</v>
      </c>
      <c r="R2" s="238" t="s">
        <v>146</v>
      </c>
      <c r="S2" s="238" t="s">
        <v>1008</v>
      </c>
      <c r="T2" s="238" t="s">
        <v>1006</v>
      </c>
      <c r="U2" s="238" t="s">
        <v>145</v>
      </c>
      <c r="V2" s="271" t="s">
        <v>893</v>
      </c>
      <c r="W2" s="273" t="s">
        <v>860</v>
      </c>
      <c r="X2" s="273" t="s">
        <v>856</v>
      </c>
      <c r="Y2" s="238" t="s">
        <v>861</v>
      </c>
      <c r="Z2" s="238" t="s">
        <v>862</v>
      </c>
      <c r="AA2" s="238" t="s">
        <v>850</v>
      </c>
      <c r="AB2" s="238" t="s">
        <v>851</v>
      </c>
      <c r="AC2" s="238" t="s">
        <v>859</v>
      </c>
      <c r="AD2" s="238" t="s">
        <v>892</v>
      </c>
      <c r="AE2" s="272" t="s">
        <v>1067</v>
      </c>
      <c r="AF2" s="274" t="s">
        <v>8</v>
      </c>
      <c r="AG2" s="275" t="s">
        <v>223</v>
      </c>
      <c r="AH2" s="275" t="s">
        <v>1004</v>
      </c>
    </row>
    <row r="3" spans="1:41" s="107" customFormat="1">
      <c r="A3" s="276" t="s">
        <v>890</v>
      </c>
      <c r="B3" s="276"/>
      <c r="C3" s="277" t="s">
        <v>883</v>
      </c>
      <c r="D3" s="283" t="s">
        <v>1094</v>
      </c>
      <c r="E3" s="283" t="s">
        <v>1094</v>
      </c>
      <c r="F3" s="283" t="s">
        <v>1094</v>
      </c>
      <c r="G3" s="283" t="s">
        <v>1094</v>
      </c>
      <c r="H3" s="283" t="s">
        <v>1094</v>
      </c>
      <c r="I3" s="283" t="s">
        <v>1094</v>
      </c>
      <c r="J3" s="283" t="s">
        <v>1094</v>
      </c>
      <c r="K3" s="337">
        <v>1.0000000000000001E-5</v>
      </c>
      <c r="L3" s="337" t="s">
        <v>1094</v>
      </c>
      <c r="M3" s="337" t="s">
        <v>1094</v>
      </c>
      <c r="N3" s="337" t="s">
        <v>1094</v>
      </c>
      <c r="O3" s="416" t="s">
        <v>1094</v>
      </c>
      <c r="P3" s="416" t="s">
        <v>1094</v>
      </c>
      <c r="Q3" s="416" t="s">
        <v>1094</v>
      </c>
      <c r="R3" s="416" t="s">
        <v>1094</v>
      </c>
      <c r="S3" s="416" t="s">
        <v>1094</v>
      </c>
      <c r="T3" s="416" t="s">
        <v>1094</v>
      </c>
      <c r="U3" s="416" t="s">
        <v>1094</v>
      </c>
      <c r="V3" s="276"/>
      <c r="W3" s="279"/>
      <c r="X3" s="279"/>
      <c r="Y3" s="242"/>
      <c r="Z3" s="242"/>
      <c r="AA3" s="242"/>
      <c r="AB3" s="261"/>
      <c r="AC3" s="261"/>
      <c r="AD3" s="242"/>
      <c r="AE3" s="280"/>
      <c r="AF3" s="281"/>
      <c r="AG3" s="282"/>
      <c r="AH3" s="282"/>
    </row>
    <row r="4" spans="1:41" s="107" customFormat="1">
      <c r="A4" s="242" t="s">
        <v>853</v>
      </c>
      <c r="B4" s="282" t="s">
        <v>1072</v>
      </c>
      <c r="C4" s="121" t="s">
        <v>668</v>
      </c>
      <c r="D4" s="490" t="s">
        <v>1094</v>
      </c>
      <c r="E4" s="490" t="s">
        <v>1094</v>
      </c>
      <c r="F4" s="490" t="s">
        <v>883</v>
      </c>
      <c r="G4" s="411" t="s">
        <v>1094</v>
      </c>
      <c r="H4" s="411" t="s">
        <v>1094</v>
      </c>
      <c r="I4" s="490" t="s">
        <v>883</v>
      </c>
      <c r="J4" s="490" t="s">
        <v>1094</v>
      </c>
      <c r="K4" s="416">
        <f t="shared" ref="K4:K67" si="0">Y4/AA4</f>
        <v>8.0357142857142853E-5</v>
      </c>
      <c r="L4" s="423" t="s">
        <v>1094</v>
      </c>
      <c r="M4" s="423" t="s">
        <v>1094</v>
      </c>
      <c r="N4" s="423" t="s">
        <v>1094</v>
      </c>
      <c r="O4" s="401" t="s">
        <v>1094</v>
      </c>
      <c r="P4" s="401" t="s">
        <v>1094</v>
      </c>
      <c r="Q4" s="401" t="s">
        <v>1094</v>
      </c>
      <c r="R4" s="401" t="s">
        <v>1094</v>
      </c>
      <c r="S4" s="401" t="s">
        <v>1094</v>
      </c>
      <c r="T4" s="401" t="s">
        <v>1094</v>
      </c>
      <c r="U4" s="401" t="s">
        <v>1094</v>
      </c>
      <c r="V4" s="284">
        <f t="shared" ref="V4:V35" si="1">35/AC4</f>
        <v>0.136125</v>
      </c>
      <c r="W4" s="285"/>
      <c r="X4" s="286"/>
      <c r="Y4" s="287">
        <f>SUM(Z4/16)</f>
        <v>56.25</v>
      </c>
      <c r="Z4" s="287">
        <v>900</v>
      </c>
      <c r="AA4" s="288">
        <v>700000</v>
      </c>
      <c r="AB4" s="261">
        <f t="shared" ref="AB4:AB67" si="2">(AA4/43560)</f>
        <v>16.069788797061523</v>
      </c>
      <c r="AC4" s="261">
        <f t="shared" ref="AC4:AC67" si="3">AB4*16</f>
        <v>257.11662075298437</v>
      </c>
      <c r="AD4" s="289"/>
      <c r="AE4" s="290" t="s">
        <v>525</v>
      </c>
      <c r="AF4" s="291">
        <v>8</v>
      </c>
      <c r="AG4" s="292" t="s">
        <v>1034</v>
      </c>
      <c r="AH4" s="293" t="s">
        <v>945</v>
      </c>
    </row>
    <row r="5" spans="1:41" s="107" customFormat="1">
      <c r="A5" s="242" t="s">
        <v>853</v>
      </c>
      <c r="B5" s="282" t="s">
        <v>295</v>
      </c>
      <c r="C5" s="121" t="s">
        <v>762</v>
      </c>
      <c r="D5" s="490" t="s">
        <v>883</v>
      </c>
      <c r="E5" s="490" t="s">
        <v>883</v>
      </c>
      <c r="F5" s="490" t="s">
        <v>1094</v>
      </c>
      <c r="G5" s="411" t="s">
        <v>1094</v>
      </c>
      <c r="H5" s="411" t="s">
        <v>1094</v>
      </c>
      <c r="I5" s="411" t="s">
        <v>1094</v>
      </c>
      <c r="J5" s="490" t="s">
        <v>1094</v>
      </c>
      <c r="K5" s="416">
        <f t="shared" si="0"/>
        <v>7.0312499999999997E-4</v>
      </c>
      <c r="L5" s="401" t="s">
        <v>1094</v>
      </c>
      <c r="M5" s="401" t="s">
        <v>1094</v>
      </c>
      <c r="N5" s="401" t="s">
        <v>1094</v>
      </c>
      <c r="O5" s="401" t="s">
        <v>1094</v>
      </c>
      <c r="P5" s="401" t="s">
        <v>1094</v>
      </c>
      <c r="Q5" s="401" t="s">
        <v>1094</v>
      </c>
      <c r="R5" s="401" t="s">
        <v>1094</v>
      </c>
      <c r="S5" s="401" t="s">
        <v>1094</v>
      </c>
      <c r="T5" s="401" t="s">
        <v>1094</v>
      </c>
      <c r="U5" s="401" t="s">
        <v>1094</v>
      </c>
      <c r="V5" s="284">
        <f t="shared" si="1"/>
        <v>4.7643750000000002</v>
      </c>
      <c r="W5" s="285"/>
      <c r="X5" s="286"/>
      <c r="Y5" s="287">
        <f>SUM(Z5/16)</f>
        <v>14.0625</v>
      </c>
      <c r="Z5" s="287">
        <v>225</v>
      </c>
      <c r="AA5" s="288">
        <v>20000</v>
      </c>
      <c r="AB5" s="261">
        <f t="shared" si="2"/>
        <v>0.4591368227731864</v>
      </c>
      <c r="AC5" s="261">
        <f t="shared" si="3"/>
        <v>7.3461891643709825</v>
      </c>
      <c r="AD5" s="289"/>
      <c r="AE5" s="290" t="s">
        <v>294</v>
      </c>
      <c r="AF5" s="291">
        <v>4</v>
      </c>
      <c r="AG5" s="292" t="s">
        <v>1034</v>
      </c>
      <c r="AH5" s="293" t="s">
        <v>946</v>
      </c>
    </row>
    <row r="6" spans="1:41" s="209" customFormat="1">
      <c r="A6" s="529" t="s">
        <v>853</v>
      </c>
      <c r="B6" s="530" t="s">
        <v>11236</v>
      </c>
      <c r="C6" s="550" t="s">
        <v>9133</v>
      </c>
      <c r="D6" s="547" t="s">
        <v>883</v>
      </c>
      <c r="E6" s="547" t="s">
        <v>883</v>
      </c>
      <c r="F6" s="547" t="s">
        <v>883</v>
      </c>
      <c r="G6" s="547" t="s">
        <v>1094</v>
      </c>
      <c r="H6" s="547" t="s">
        <v>883</v>
      </c>
      <c r="I6" s="548" t="s">
        <v>883</v>
      </c>
      <c r="J6" s="547" t="s">
        <v>883</v>
      </c>
      <c r="K6" s="533">
        <f t="shared" si="0"/>
        <v>0</v>
      </c>
      <c r="L6" s="547" t="s">
        <v>1094</v>
      </c>
      <c r="M6" s="533" t="s">
        <v>1094</v>
      </c>
      <c r="N6" s="533" t="s">
        <v>1094</v>
      </c>
      <c r="O6" s="547" t="s">
        <v>1094</v>
      </c>
      <c r="P6" s="533" t="s">
        <v>1094</v>
      </c>
      <c r="Q6" s="547" t="s">
        <v>1094</v>
      </c>
      <c r="R6" s="547" t="s">
        <v>1094</v>
      </c>
      <c r="S6" s="547" t="s">
        <v>1094</v>
      </c>
      <c r="T6" s="547" t="s">
        <v>1094</v>
      </c>
      <c r="U6" s="547" t="s">
        <v>1094</v>
      </c>
      <c r="V6" s="534">
        <f t="shared" si="1"/>
        <v>46.436403508771932</v>
      </c>
      <c r="W6" s="549"/>
      <c r="X6" s="549"/>
      <c r="Y6" s="537">
        <v>0</v>
      </c>
      <c r="Z6" s="537">
        <v>0</v>
      </c>
      <c r="AA6" s="538">
        <v>2052</v>
      </c>
      <c r="AB6" s="516">
        <f t="shared" si="2"/>
        <v>4.7107438016528926E-2</v>
      </c>
      <c r="AC6" s="516">
        <f t="shared" si="3"/>
        <v>0.75371900826446281</v>
      </c>
      <c r="AD6" s="530"/>
      <c r="AE6" s="540" t="s">
        <v>290</v>
      </c>
      <c r="AF6" s="541">
        <v>8</v>
      </c>
      <c r="AG6" s="542" t="s">
        <v>1037</v>
      </c>
      <c r="AH6" s="543"/>
      <c r="AI6" s="107"/>
      <c r="AJ6" s="107"/>
      <c r="AK6" s="107"/>
      <c r="AL6" s="107"/>
      <c r="AM6" s="107"/>
      <c r="AN6" s="107"/>
      <c r="AO6" s="107"/>
    </row>
    <row r="7" spans="1:41" s="107" customFormat="1">
      <c r="A7" s="242" t="s">
        <v>853</v>
      </c>
      <c r="B7" s="282" t="s">
        <v>296</v>
      </c>
      <c r="C7" s="106" t="s">
        <v>810</v>
      </c>
      <c r="D7" s="491" t="s">
        <v>1094</v>
      </c>
      <c r="E7" s="490" t="s">
        <v>883</v>
      </c>
      <c r="F7" s="490" t="s">
        <v>883</v>
      </c>
      <c r="G7" s="411" t="s">
        <v>1094</v>
      </c>
      <c r="H7" s="490" t="s">
        <v>1094</v>
      </c>
      <c r="I7" s="490" t="s">
        <v>883</v>
      </c>
      <c r="J7" s="490" t="s">
        <v>883</v>
      </c>
      <c r="K7" s="416">
        <f t="shared" si="0"/>
        <v>1.4705882352941176E-3</v>
      </c>
      <c r="L7" s="401" t="s">
        <v>1094</v>
      </c>
      <c r="M7" s="401" t="s">
        <v>1094</v>
      </c>
      <c r="N7" s="401" t="s">
        <v>1094</v>
      </c>
      <c r="O7" s="401" t="s">
        <v>1094</v>
      </c>
      <c r="P7" s="401" t="s">
        <v>1094</v>
      </c>
      <c r="Q7" s="401" t="s">
        <v>1094</v>
      </c>
      <c r="R7" s="401" t="s">
        <v>1094</v>
      </c>
      <c r="S7" s="401" t="s">
        <v>1094</v>
      </c>
      <c r="T7" s="401" t="s">
        <v>1094</v>
      </c>
      <c r="U7" s="401" t="s">
        <v>1094</v>
      </c>
      <c r="V7" s="284">
        <f t="shared" si="1"/>
        <v>1.8683823529411765</v>
      </c>
      <c r="W7" s="285"/>
      <c r="X7" s="286"/>
      <c r="Y7" s="287">
        <f>SUM(Z7/16)</f>
        <v>75</v>
      </c>
      <c r="Z7" s="287">
        <v>1200</v>
      </c>
      <c r="AA7" s="288">
        <v>51000</v>
      </c>
      <c r="AB7" s="261">
        <f t="shared" si="2"/>
        <v>1.1707988980716253</v>
      </c>
      <c r="AC7" s="261">
        <f t="shared" si="3"/>
        <v>18.732782369146005</v>
      </c>
      <c r="AD7" s="289"/>
      <c r="AE7" s="290" t="s">
        <v>294</v>
      </c>
      <c r="AF7" s="291">
        <v>10</v>
      </c>
      <c r="AG7" s="292" t="s">
        <v>1034</v>
      </c>
      <c r="AH7" s="293" t="s">
        <v>949</v>
      </c>
    </row>
    <row r="8" spans="1:41" s="107" customFormat="1">
      <c r="A8" s="529" t="s">
        <v>853</v>
      </c>
      <c r="B8" s="530" t="s">
        <v>11165</v>
      </c>
      <c r="C8" s="550" t="s">
        <v>11164</v>
      </c>
      <c r="D8" s="547" t="s">
        <v>883</v>
      </c>
      <c r="E8" s="547" t="s">
        <v>883</v>
      </c>
      <c r="F8" s="547" t="s">
        <v>1094</v>
      </c>
      <c r="G8" s="548" t="s">
        <v>883</v>
      </c>
      <c r="H8" s="548" t="s">
        <v>883</v>
      </c>
      <c r="I8" s="547" t="s">
        <v>1094</v>
      </c>
      <c r="J8" s="547" t="s">
        <v>883</v>
      </c>
      <c r="K8" s="533">
        <f t="shared" si="0"/>
        <v>3.1746031746031746E-4</v>
      </c>
      <c r="L8" s="547" t="s">
        <v>883</v>
      </c>
      <c r="M8" s="547" t="s">
        <v>883</v>
      </c>
      <c r="N8" s="547" t="s">
        <v>883</v>
      </c>
      <c r="O8" s="547" t="s">
        <v>1094</v>
      </c>
      <c r="P8" s="533" t="s">
        <v>1094</v>
      </c>
      <c r="Q8" s="547" t="s">
        <v>1094</v>
      </c>
      <c r="R8" s="547" t="s">
        <v>883</v>
      </c>
      <c r="S8" s="547" t="s">
        <v>883</v>
      </c>
      <c r="T8" s="547" t="s">
        <v>883</v>
      </c>
      <c r="U8" s="547" t="s">
        <v>883</v>
      </c>
      <c r="V8" s="534">
        <f t="shared" si="1"/>
        <v>1.5125</v>
      </c>
      <c r="W8" s="535"/>
      <c r="X8" s="536"/>
      <c r="Y8" s="537">
        <v>20</v>
      </c>
      <c r="Z8" s="537">
        <v>300</v>
      </c>
      <c r="AA8" s="538">
        <v>63000</v>
      </c>
      <c r="AB8" s="516">
        <f t="shared" si="2"/>
        <v>1.4462809917355373</v>
      </c>
      <c r="AC8" s="516">
        <f t="shared" si="3"/>
        <v>23.140495867768596</v>
      </c>
      <c r="AD8" s="539"/>
      <c r="AE8" s="540" t="s">
        <v>294</v>
      </c>
      <c r="AF8" s="541">
        <v>8</v>
      </c>
      <c r="AG8" s="542" t="s">
        <v>1034</v>
      </c>
      <c r="AH8" s="543" t="s">
        <v>946</v>
      </c>
      <c r="AL8" s="219"/>
    </row>
    <row r="9" spans="1:41" s="107" customFormat="1">
      <c r="A9" s="242" t="s">
        <v>853</v>
      </c>
      <c r="B9" s="282" t="s">
        <v>297</v>
      </c>
      <c r="C9" s="106" t="s">
        <v>791</v>
      </c>
      <c r="D9" s="491" t="s">
        <v>1094</v>
      </c>
      <c r="E9" s="491" t="s">
        <v>1094</v>
      </c>
      <c r="F9" s="490" t="s">
        <v>883</v>
      </c>
      <c r="G9" s="411" t="s">
        <v>1094</v>
      </c>
      <c r="H9" s="411" t="s">
        <v>1094</v>
      </c>
      <c r="I9" s="490" t="s">
        <v>883</v>
      </c>
      <c r="J9" s="490" t="s">
        <v>883</v>
      </c>
      <c r="K9" s="416">
        <f t="shared" si="0"/>
        <v>2.5568181818181818E-3</v>
      </c>
      <c r="L9" s="490" t="s">
        <v>883</v>
      </c>
      <c r="M9" s="401" t="s">
        <v>1094</v>
      </c>
      <c r="N9" s="490" t="s">
        <v>883</v>
      </c>
      <c r="O9" s="401" t="s">
        <v>1094</v>
      </c>
      <c r="P9" s="401" t="s">
        <v>1094</v>
      </c>
      <c r="Q9" s="401" t="s">
        <v>1094</v>
      </c>
      <c r="R9" s="490" t="s">
        <v>883</v>
      </c>
      <c r="S9" s="490" t="s">
        <v>883</v>
      </c>
      <c r="T9" s="490" t="s">
        <v>883</v>
      </c>
      <c r="U9" s="490" t="s">
        <v>883</v>
      </c>
      <c r="V9" s="284">
        <f t="shared" si="1"/>
        <v>8.6624999999999996</v>
      </c>
      <c r="W9" s="285"/>
      <c r="X9" s="286"/>
      <c r="Y9" s="287">
        <f>SUM(Z9/16)</f>
        <v>28.125</v>
      </c>
      <c r="Z9" s="287">
        <v>450</v>
      </c>
      <c r="AA9" s="288">
        <v>11000</v>
      </c>
      <c r="AB9" s="261">
        <f t="shared" si="2"/>
        <v>0.25252525252525254</v>
      </c>
      <c r="AC9" s="261">
        <f t="shared" si="3"/>
        <v>4.0404040404040407</v>
      </c>
      <c r="AD9" s="289"/>
      <c r="AE9" s="290" t="s">
        <v>863</v>
      </c>
      <c r="AF9" s="291">
        <v>10</v>
      </c>
      <c r="AG9" s="292" t="s">
        <v>1034</v>
      </c>
      <c r="AH9" s="293" t="s">
        <v>946</v>
      </c>
      <c r="AI9" s="209"/>
      <c r="AJ9" s="209"/>
      <c r="AK9" s="209"/>
      <c r="AL9" s="209"/>
      <c r="AM9" s="209"/>
      <c r="AN9" s="209"/>
      <c r="AO9" s="209"/>
    </row>
    <row r="10" spans="1:41" s="107" customFormat="1">
      <c r="A10" s="242" t="s">
        <v>853</v>
      </c>
      <c r="B10" s="282" t="s">
        <v>1228</v>
      </c>
      <c r="C10" s="121" t="s">
        <v>1229</v>
      </c>
      <c r="D10" s="492" t="s">
        <v>1094</v>
      </c>
      <c r="E10" s="492" t="s">
        <v>1094</v>
      </c>
      <c r="F10" s="493" t="s">
        <v>883</v>
      </c>
      <c r="G10" s="414" t="s">
        <v>1094</v>
      </c>
      <c r="H10" s="492" t="s">
        <v>1094</v>
      </c>
      <c r="I10" s="493" t="s">
        <v>883</v>
      </c>
      <c r="J10" s="493" t="s">
        <v>883</v>
      </c>
      <c r="K10" s="416">
        <f t="shared" si="0"/>
        <v>1.0714285714285714E-2</v>
      </c>
      <c r="L10" s="492" t="s">
        <v>1094</v>
      </c>
      <c r="M10" s="416" t="s">
        <v>1094</v>
      </c>
      <c r="N10" s="492" t="s">
        <v>1094</v>
      </c>
      <c r="O10" s="416" t="s">
        <v>1094</v>
      </c>
      <c r="P10" s="492" t="s">
        <v>1094</v>
      </c>
      <c r="Q10" s="416" t="s">
        <v>1094</v>
      </c>
      <c r="R10" s="492" t="s">
        <v>1094</v>
      </c>
      <c r="S10" s="492" t="s">
        <v>1094</v>
      </c>
      <c r="T10" s="416" t="s">
        <v>1094</v>
      </c>
      <c r="U10" s="416" t="s">
        <v>1094</v>
      </c>
      <c r="V10" s="284">
        <f t="shared" si="1"/>
        <v>8.5078125</v>
      </c>
      <c r="W10" s="285"/>
      <c r="X10" s="286"/>
      <c r="Y10" s="287">
        <f>SUM(Z10/16)</f>
        <v>120</v>
      </c>
      <c r="Z10" s="287">
        <v>1920</v>
      </c>
      <c r="AA10" s="295">
        <v>11200</v>
      </c>
      <c r="AB10" s="261">
        <f t="shared" si="2"/>
        <v>0.25711662075298441</v>
      </c>
      <c r="AC10" s="261">
        <f t="shared" si="3"/>
        <v>4.1138659320477506</v>
      </c>
      <c r="AD10" s="289"/>
      <c r="AE10" s="290" t="s">
        <v>863</v>
      </c>
      <c r="AF10" s="296">
        <v>6</v>
      </c>
      <c r="AG10" s="292" t="s">
        <v>1038</v>
      </c>
      <c r="AH10" s="293" t="s">
        <v>1230</v>
      </c>
    </row>
    <row r="11" spans="1:41" s="107" customFormat="1">
      <c r="A11" s="242" t="s">
        <v>853</v>
      </c>
      <c r="B11" s="282" t="s">
        <v>298</v>
      </c>
      <c r="C11" s="106" t="s">
        <v>604</v>
      </c>
      <c r="D11" s="490" t="s">
        <v>883</v>
      </c>
      <c r="E11" s="491" t="s">
        <v>1094</v>
      </c>
      <c r="F11" s="491" t="s">
        <v>1094</v>
      </c>
      <c r="G11" s="411" t="s">
        <v>1094</v>
      </c>
      <c r="H11" s="411" t="s">
        <v>1094</v>
      </c>
      <c r="I11" s="411" t="s">
        <v>1094</v>
      </c>
      <c r="J11" s="490" t="s">
        <v>883</v>
      </c>
      <c r="K11" s="416">
        <f t="shared" si="0"/>
        <v>5.8139534883720929E-4</v>
      </c>
      <c r="L11" s="490" t="s">
        <v>883</v>
      </c>
      <c r="M11" s="401" t="s">
        <v>1094</v>
      </c>
      <c r="N11" s="490" t="s">
        <v>883</v>
      </c>
      <c r="O11" s="490" t="s">
        <v>883</v>
      </c>
      <c r="P11" s="490" t="s">
        <v>883</v>
      </c>
      <c r="Q11" s="490" t="s">
        <v>883</v>
      </c>
      <c r="R11" s="401" t="s">
        <v>1094</v>
      </c>
      <c r="S11" s="401" t="s">
        <v>1094</v>
      </c>
      <c r="T11" s="490" t="s">
        <v>883</v>
      </c>
      <c r="U11" s="490" t="s">
        <v>883</v>
      </c>
      <c r="V11" s="284">
        <f t="shared" si="1"/>
        <v>11.079941860465118</v>
      </c>
      <c r="W11" s="285"/>
      <c r="X11" s="286"/>
      <c r="Y11" s="287">
        <v>5</v>
      </c>
      <c r="Z11" s="287">
        <v>75</v>
      </c>
      <c r="AA11" s="288">
        <v>8600</v>
      </c>
      <c r="AB11" s="261">
        <f t="shared" si="2"/>
        <v>0.19742883379247014</v>
      </c>
      <c r="AC11" s="261">
        <f t="shared" si="3"/>
        <v>3.1588613406795223</v>
      </c>
      <c r="AD11" s="289"/>
      <c r="AE11" s="290" t="s">
        <v>294</v>
      </c>
      <c r="AF11" s="291">
        <v>3</v>
      </c>
      <c r="AG11" s="292" t="s">
        <v>1036</v>
      </c>
      <c r="AH11" s="293" t="s">
        <v>950</v>
      </c>
    </row>
    <row r="12" spans="1:41" s="209" customFormat="1">
      <c r="A12" s="242" t="s">
        <v>853</v>
      </c>
      <c r="B12" s="282" t="s">
        <v>526</v>
      </c>
      <c r="C12" s="121" t="s">
        <v>652</v>
      </c>
      <c r="D12" s="490" t="s">
        <v>1094</v>
      </c>
      <c r="E12" s="490" t="s">
        <v>1094</v>
      </c>
      <c r="F12" s="490" t="s">
        <v>883</v>
      </c>
      <c r="G12" s="411" t="s">
        <v>1094</v>
      </c>
      <c r="H12" s="411" t="s">
        <v>1094</v>
      </c>
      <c r="I12" s="490" t="s">
        <v>883</v>
      </c>
      <c r="J12" s="490" t="s">
        <v>883</v>
      </c>
      <c r="K12" s="416">
        <f t="shared" si="0"/>
        <v>3.472222222222222E-3</v>
      </c>
      <c r="L12" s="490" t="s">
        <v>883</v>
      </c>
      <c r="M12" s="401" t="s">
        <v>1094</v>
      </c>
      <c r="N12" s="401" t="s">
        <v>1094</v>
      </c>
      <c r="O12" s="490" t="s">
        <v>883</v>
      </c>
      <c r="P12" s="401" t="s">
        <v>1094</v>
      </c>
      <c r="Q12" s="401" t="s">
        <v>1094</v>
      </c>
      <c r="R12" s="401" t="s">
        <v>1094</v>
      </c>
      <c r="S12" s="401" t="s">
        <v>1094</v>
      </c>
      <c r="T12" s="401" t="s">
        <v>1094</v>
      </c>
      <c r="U12" s="490" t="s">
        <v>883</v>
      </c>
      <c r="V12" s="284">
        <f t="shared" si="1"/>
        <v>35.291666666666664</v>
      </c>
      <c r="W12" s="285"/>
      <c r="X12" s="286"/>
      <c r="Y12" s="287">
        <f>SUM(Z12/16)</f>
        <v>9.375</v>
      </c>
      <c r="Z12" s="287">
        <v>150</v>
      </c>
      <c r="AA12" s="288">
        <v>2700</v>
      </c>
      <c r="AB12" s="261">
        <f t="shared" si="2"/>
        <v>6.1983471074380167E-2</v>
      </c>
      <c r="AC12" s="261">
        <f t="shared" si="3"/>
        <v>0.99173553719008267</v>
      </c>
      <c r="AD12" s="289"/>
      <c r="AE12" s="290" t="s">
        <v>294</v>
      </c>
      <c r="AF12" s="291">
        <v>3</v>
      </c>
      <c r="AG12" s="292" t="s">
        <v>1035</v>
      </c>
      <c r="AH12" s="293" t="s">
        <v>946</v>
      </c>
    </row>
    <row r="13" spans="1:41" s="107" customFormat="1">
      <c r="A13" s="529" t="s">
        <v>853</v>
      </c>
      <c r="B13" s="530" t="s">
        <v>11234</v>
      </c>
      <c r="C13" s="550" t="s">
        <v>5288</v>
      </c>
      <c r="D13" s="547" t="s">
        <v>1094</v>
      </c>
      <c r="E13" s="547" t="s">
        <v>1094</v>
      </c>
      <c r="F13" s="547" t="s">
        <v>883</v>
      </c>
      <c r="G13" s="548" t="s">
        <v>883</v>
      </c>
      <c r="H13" s="548" t="s">
        <v>1094</v>
      </c>
      <c r="I13" s="547" t="s">
        <v>883</v>
      </c>
      <c r="J13" s="547" t="s">
        <v>1094</v>
      </c>
      <c r="K13" s="533">
        <f t="shared" si="0"/>
        <v>2.2222222222222222E-3</v>
      </c>
      <c r="L13" s="547" t="s">
        <v>883</v>
      </c>
      <c r="M13" s="533" t="s">
        <v>883</v>
      </c>
      <c r="N13" s="547" t="s">
        <v>883</v>
      </c>
      <c r="O13" s="547" t="s">
        <v>883</v>
      </c>
      <c r="P13" s="547" t="s">
        <v>1094</v>
      </c>
      <c r="Q13" s="547" t="s">
        <v>883</v>
      </c>
      <c r="R13" s="547" t="s">
        <v>883</v>
      </c>
      <c r="S13" s="547" t="s">
        <v>883</v>
      </c>
      <c r="T13" s="547" t="s">
        <v>883</v>
      </c>
      <c r="U13" s="547" t="s">
        <v>883</v>
      </c>
      <c r="V13" s="534">
        <f t="shared" si="1"/>
        <v>3.5291666666666663</v>
      </c>
      <c r="W13" s="549"/>
      <c r="X13" s="549"/>
      <c r="Y13" s="537">
        <v>60</v>
      </c>
      <c r="Z13" s="537">
        <v>900</v>
      </c>
      <c r="AA13" s="538">
        <v>27000</v>
      </c>
      <c r="AB13" s="516">
        <f t="shared" si="2"/>
        <v>0.6198347107438017</v>
      </c>
      <c r="AC13" s="516">
        <f t="shared" si="3"/>
        <v>9.9173553719008272</v>
      </c>
      <c r="AD13" s="530"/>
      <c r="AE13" s="540" t="s">
        <v>294</v>
      </c>
      <c r="AF13" s="541">
        <v>10</v>
      </c>
      <c r="AG13" s="542" t="s">
        <v>1034</v>
      </c>
      <c r="AH13" s="543" t="s">
        <v>11279</v>
      </c>
    </row>
    <row r="14" spans="1:41" s="107" customFormat="1">
      <c r="A14" s="242" t="s">
        <v>853</v>
      </c>
      <c r="B14" s="282" t="s">
        <v>527</v>
      </c>
      <c r="C14" s="121" t="s">
        <v>702</v>
      </c>
      <c r="D14" s="494" t="s">
        <v>883</v>
      </c>
      <c r="E14" s="490" t="s">
        <v>1094</v>
      </c>
      <c r="F14" s="490" t="s">
        <v>1094</v>
      </c>
      <c r="G14" s="490" t="s">
        <v>883</v>
      </c>
      <c r="H14" s="411" t="s">
        <v>1094</v>
      </c>
      <c r="I14" s="490" t="s">
        <v>883</v>
      </c>
      <c r="J14" s="411" t="s">
        <v>1094</v>
      </c>
      <c r="K14" s="416">
        <f t="shared" si="0"/>
        <v>2.6785714285714286E-3</v>
      </c>
      <c r="L14" s="490" t="s">
        <v>883</v>
      </c>
      <c r="M14" s="401" t="s">
        <v>1094</v>
      </c>
      <c r="N14" s="401" t="s">
        <v>1094</v>
      </c>
      <c r="O14" s="401" t="s">
        <v>1094</v>
      </c>
      <c r="P14" s="401" t="s">
        <v>1094</v>
      </c>
      <c r="Q14" s="490" t="s">
        <v>883</v>
      </c>
      <c r="R14" s="401" t="s">
        <v>1094</v>
      </c>
      <c r="S14" s="401" t="s">
        <v>1094</v>
      </c>
      <c r="T14" s="490" t="s">
        <v>883</v>
      </c>
      <c r="U14" s="490" t="s">
        <v>883</v>
      </c>
      <c r="V14" s="284">
        <f t="shared" si="1"/>
        <v>1.7015625000000001</v>
      </c>
      <c r="W14" s="285"/>
      <c r="X14" s="286"/>
      <c r="Y14" s="287">
        <f>SUM(Z14/16)</f>
        <v>150</v>
      </c>
      <c r="Z14" s="287">
        <v>2400</v>
      </c>
      <c r="AA14" s="288">
        <v>56000</v>
      </c>
      <c r="AB14" s="261">
        <f t="shared" si="2"/>
        <v>1.2855831037649219</v>
      </c>
      <c r="AC14" s="261">
        <f t="shared" si="3"/>
        <v>20.569329660238751</v>
      </c>
      <c r="AD14" s="289"/>
      <c r="AE14" s="290" t="s">
        <v>525</v>
      </c>
      <c r="AF14" s="291">
        <v>8</v>
      </c>
      <c r="AG14" s="292" t="s">
        <v>1034</v>
      </c>
      <c r="AH14" s="293" t="s">
        <v>946</v>
      </c>
    </row>
    <row r="15" spans="1:41" s="107" customFormat="1">
      <c r="A15" s="242" t="s">
        <v>853</v>
      </c>
      <c r="B15" s="282" t="s">
        <v>1231</v>
      </c>
      <c r="C15" s="121" t="s">
        <v>734</v>
      </c>
      <c r="D15" s="490" t="s">
        <v>1094</v>
      </c>
      <c r="E15" s="490" t="s">
        <v>1094</v>
      </c>
      <c r="F15" s="490" t="s">
        <v>883</v>
      </c>
      <c r="G15" s="411" t="s">
        <v>1094</v>
      </c>
      <c r="H15" s="411" t="s">
        <v>1094</v>
      </c>
      <c r="I15" s="490" t="s">
        <v>883</v>
      </c>
      <c r="J15" s="490" t="s">
        <v>883</v>
      </c>
      <c r="K15" s="416">
        <f t="shared" si="0"/>
        <v>9.072580645161291E-5</v>
      </c>
      <c r="L15" s="401" t="s">
        <v>1094</v>
      </c>
      <c r="M15" s="401" t="s">
        <v>1094</v>
      </c>
      <c r="N15" s="401" t="s">
        <v>1094</v>
      </c>
      <c r="O15" s="401" t="s">
        <v>1094</v>
      </c>
      <c r="P15" s="401" t="s">
        <v>1094</v>
      </c>
      <c r="Q15" s="401" t="s">
        <v>1094</v>
      </c>
      <c r="R15" s="401" t="s">
        <v>1094</v>
      </c>
      <c r="S15" s="401" t="s">
        <v>1094</v>
      </c>
      <c r="T15" s="401" t="s">
        <v>1094</v>
      </c>
      <c r="U15" s="401" t="s">
        <v>1094</v>
      </c>
      <c r="V15" s="284">
        <f t="shared" si="1"/>
        <v>3.0737903225806451</v>
      </c>
      <c r="W15" s="285"/>
      <c r="X15" s="286"/>
      <c r="Y15" s="287">
        <f>SUM(Z15/16)</f>
        <v>2.8125</v>
      </c>
      <c r="Z15" s="287">
        <v>45</v>
      </c>
      <c r="AA15" s="288">
        <v>31000</v>
      </c>
      <c r="AB15" s="261">
        <f t="shared" si="2"/>
        <v>0.71166207529843895</v>
      </c>
      <c r="AC15" s="261">
        <f t="shared" si="3"/>
        <v>11.386593204775023</v>
      </c>
      <c r="AD15" s="289"/>
      <c r="AE15" s="290" t="s">
        <v>294</v>
      </c>
      <c r="AF15" s="291">
        <v>2</v>
      </c>
      <c r="AG15" s="292" t="s">
        <v>1035</v>
      </c>
      <c r="AH15" s="293" t="s">
        <v>952</v>
      </c>
    </row>
    <row r="16" spans="1:41" s="107" customFormat="1">
      <c r="A16" s="242" t="s">
        <v>853</v>
      </c>
      <c r="B16" s="297" t="s">
        <v>1232</v>
      </c>
      <c r="C16" s="121" t="s">
        <v>639</v>
      </c>
      <c r="D16" s="490" t="s">
        <v>1094</v>
      </c>
      <c r="E16" s="490" t="s">
        <v>883</v>
      </c>
      <c r="F16" s="490" t="s">
        <v>883</v>
      </c>
      <c r="G16" s="411" t="s">
        <v>1094</v>
      </c>
      <c r="H16" s="490" t="s">
        <v>1094</v>
      </c>
      <c r="I16" s="490" t="s">
        <v>883</v>
      </c>
      <c r="J16" s="490" t="s">
        <v>883</v>
      </c>
      <c r="K16" s="416">
        <f t="shared" si="0"/>
        <v>1.3392857142857143E-3</v>
      </c>
      <c r="L16" s="490" t="s">
        <v>883</v>
      </c>
      <c r="M16" s="401" t="s">
        <v>1094</v>
      </c>
      <c r="N16" s="490" t="s">
        <v>883</v>
      </c>
      <c r="O16" s="490" t="s">
        <v>883</v>
      </c>
      <c r="P16" s="490" t="s">
        <v>883</v>
      </c>
      <c r="Q16" s="401" t="s">
        <v>1094</v>
      </c>
      <c r="R16" s="490" t="s">
        <v>883</v>
      </c>
      <c r="S16" s="490" t="s">
        <v>883</v>
      </c>
      <c r="T16" s="401" t="s">
        <v>1094</v>
      </c>
      <c r="U16" s="401" t="s">
        <v>1094</v>
      </c>
      <c r="V16" s="284">
        <f t="shared" si="1"/>
        <v>13.612500000000001</v>
      </c>
      <c r="W16" s="299"/>
      <c r="X16" s="299"/>
      <c r="Y16" s="287">
        <f>SUM(Z16/16)</f>
        <v>9.375</v>
      </c>
      <c r="Z16" s="287">
        <v>150</v>
      </c>
      <c r="AA16" s="288">
        <v>7000</v>
      </c>
      <c r="AB16" s="261">
        <f t="shared" si="2"/>
        <v>0.16069788797061524</v>
      </c>
      <c r="AC16" s="261">
        <f t="shared" si="3"/>
        <v>2.5711662075298438</v>
      </c>
      <c r="AD16" s="282"/>
      <c r="AE16" s="290" t="s">
        <v>863</v>
      </c>
      <c r="AF16" s="291">
        <v>8</v>
      </c>
      <c r="AG16" s="292" t="s">
        <v>1034</v>
      </c>
      <c r="AH16" s="293" t="s">
        <v>987</v>
      </c>
    </row>
    <row r="17" spans="1:41" s="219" customFormat="1">
      <c r="A17" s="242" t="s">
        <v>853</v>
      </c>
      <c r="B17" s="282" t="s">
        <v>272</v>
      </c>
      <c r="C17" s="121" t="s">
        <v>743</v>
      </c>
      <c r="D17" s="495" t="s">
        <v>1094</v>
      </c>
      <c r="E17" s="490" t="s">
        <v>1094</v>
      </c>
      <c r="F17" s="490" t="s">
        <v>883</v>
      </c>
      <c r="G17" s="490" t="s">
        <v>883</v>
      </c>
      <c r="H17" s="411" t="s">
        <v>883</v>
      </c>
      <c r="I17" s="490" t="s">
        <v>883</v>
      </c>
      <c r="J17" s="411" t="s">
        <v>1094</v>
      </c>
      <c r="K17" s="416">
        <f t="shared" si="0"/>
        <v>1.1428571428571429E-2</v>
      </c>
      <c r="L17" s="401" t="s">
        <v>1094</v>
      </c>
      <c r="M17" s="401" t="s">
        <v>1094</v>
      </c>
      <c r="N17" s="401" t="s">
        <v>1094</v>
      </c>
      <c r="O17" s="401" t="s">
        <v>1094</v>
      </c>
      <c r="P17" s="401" t="s">
        <v>1094</v>
      </c>
      <c r="Q17" s="401" t="s">
        <v>1094</v>
      </c>
      <c r="R17" s="401" t="s">
        <v>1094</v>
      </c>
      <c r="S17" s="401" t="s">
        <v>1094</v>
      </c>
      <c r="T17" s="401" t="s">
        <v>1094</v>
      </c>
      <c r="U17" s="401" t="s">
        <v>1094</v>
      </c>
      <c r="V17" s="284">
        <f t="shared" si="1"/>
        <v>13.612500000000001</v>
      </c>
      <c r="W17" s="285"/>
      <c r="X17" s="286"/>
      <c r="Y17" s="287">
        <v>80</v>
      </c>
      <c r="Z17" s="287">
        <f>Y17*16</f>
        <v>1280</v>
      </c>
      <c r="AA17" s="288">
        <v>7000</v>
      </c>
      <c r="AB17" s="261">
        <f t="shared" si="2"/>
        <v>0.16069788797061524</v>
      </c>
      <c r="AC17" s="261">
        <f t="shared" si="3"/>
        <v>2.5711662075298438</v>
      </c>
      <c r="AD17" s="289"/>
      <c r="AE17" s="290" t="s">
        <v>290</v>
      </c>
      <c r="AF17" s="291">
        <v>7</v>
      </c>
      <c r="AG17" s="292" t="s">
        <v>1034</v>
      </c>
      <c r="AH17" s="293" t="s">
        <v>953</v>
      </c>
      <c r="AI17" s="107"/>
      <c r="AJ17" s="107"/>
      <c r="AK17" s="107"/>
      <c r="AL17" s="107"/>
      <c r="AM17" s="107"/>
      <c r="AN17" s="107"/>
      <c r="AO17" s="107"/>
    </row>
    <row r="18" spans="1:41" s="219" customFormat="1">
      <c r="A18" s="242" t="s">
        <v>853</v>
      </c>
      <c r="B18" s="282" t="s">
        <v>299</v>
      </c>
      <c r="C18" s="122" t="s">
        <v>513</v>
      </c>
      <c r="D18" s="490" t="s">
        <v>883</v>
      </c>
      <c r="E18" s="496" t="s">
        <v>1094</v>
      </c>
      <c r="F18" s="490" t="s">
        <v>883</v>
      </c>
      <c r="G18" s="490" t="s">
        <v>883</v>
      </c>
      <c r="H18" s="490" t="s">
        <v>883</v>
      </c>
      <c r="I18" s="490" t="s">
        <v>883</v>
      </c>
      <c r="J18" s="411" t="s">
        <v>1094</v>
      </c>
      <c r="K18" s="416">
        <f t="shared" si="0"/>
        <v>0.13392857142857142</v>
      </c>
      <c r="L18" s="490" t="s">
        <v>883</v>
      </c>
      <c r="M18" s="401" t="s">
        <v>1094</v>
      </c>
      <c r="N18" s="490" t="s">
        <v>883</v>
      </c>
      <c r="O18" s="401" t="s">
        <v>1094</v>
      </c>
      <c r="P18" s="401" t="s">
        <v>1094</v>
      </c>
      <c r="Q18" s="401" t="s">
        <v>1094</v>
      </c>
      <c r="R18" s="490" t="s">
        <v>883</v>
      </c>
      <c r="S18" s="401" t="s">
        <v>1094</v>
      </c>
      <c r="T18" s="401" t="s">
        <v>1094</v>
      </c>
      <c r="U18" s="490" t="s">
        <v>883</v>
      </c>
      <c r="V18" s="284">
        <f t="shared" si="1"/>
        <v>1361.25</v>
      </c>
      <c r="W18" s="285"/>
      <c r="X18" s="286"/>
      <c r="Y18" s="287">
        <f>SUM(Z18/16)</f>
        <v>9.375</v>
      </c>
      <c r="Z18" s="287">
        <v>150</v>
      </c>
      <c r="AA18" s="288">
        <v>70</v>
      </c>
      <c r="AB18" s="261">
        <f t="shared" si="2"/>
        <v>1.6069788797061523E-3</v>
      </c>
      <c r="AC18" s="261">
        <f t="shared" si="3"/>
        <v>2.5711662075298437E-2</v>
      </c>
      <c r="AD18" s="289"/>
      <c r="AE18" s="290" t="s">
        <v>290</v>
      </c>
      <c r="AF18" s="291">
        <v>9</v>
      </c>
      <c r="AG18" s="292" t="s">
        <v>1034</v>
      </c>
      <c r="AH18" s="293" t="s">
        <v>954</v>
      </c>
      <c r="AI18" s="107"/>
      <c r="AJ18" s="107"/>
      <c r="AK18" s="107"/>
      <c r="AL18" s="107"/>
      <c r="AM18" s="107"/>
      <c r="AN18" s="107"/>
      <c r="AO18" s="107"/>
    </row>
    <row r="19" spans="1:41" s="107" customFormat="1">
      <c r="A19" s="242" t="s">
        <v>853</v>
      </c>
      <c r="B19" s="282" t="s">
        <v>300</v>
      </c>
      <c r="C19" s="121" t="s">
        <v>676</v>
      </c>
      <c r="D19" s="490" t="s">
        <v>883</v>
      </c>
      <c r="E19" s="490" t="s">
        <v>883</v>
      </c>
      <c r="F19" s="490" t="s">
        <v>1094</v>
      </c>
      <c r="G19" s="411" t="s">
        <v>1094</v>
      </c>
      <c r="H19" s="411" t="s">
        <v>1094</v>
      </c>
      <c r="I19" s="411" t="s">
        <v>1094</v>
      </c>
      <c r="J19" s="490" t="s">
        <v>1094</v>
      </c>
      <c r="K19" s="416">
        <f t="shared" si="0"/>
        <v>9.3749999999999997E-3</v>
      </c>
      <c r="L19" s="401" t="s">
        <v>1094</v>
      </c>
      <c r="M19" s="401" t="s">
        <v>1094</v>
      </c>
      <c r="N19" s="401" t="s">
        <v>1094</v>
      </c>
      <c r="O19" s="401" t="s">
        <v>1094</v>
      </c>
      <c r="P19" s="401" t="s">
        <v>1094</v>
      </c>
      <c r="Q19" s="401" t="s">
        <v>1094</v>
      </c>
      <c r="R19" s="401" t="s">
        <v>1094</v>
      </c>
      <c r="S19" s="401" t="s">
        <v>1094</v>
      </c>
      <c r="T19" s="401" t="s">
        <v>1094</v>
      </c>
      <c r="U19" s="401" t="s">
        <v>1094</v>
      </c>
      <c r="V19" s="284">
        <f t="shared" si="1"/>
        <v>95.287500000000009</v>
      </c>
      <c r="W19" s="285"/>
      <c r="X19" s="286"/>
      <c r="Y19" s="287">
        <f>SUM(Z19/16)</f>
        <v>9.375</v>
      </c>
      <c r="Z19" s="287">
        <v>150</v>
      </c>
      <c r="AA19" s="288">
        <v>1000</v>
      </c>
      <c r="AB19" s="261">
        <f t="shared" si="2"/>
        <v>2.2956841138659319E-2</v>
      </c>
      <c r="AC19" s="261">
        <f t="shared" si="3"/>
        <v>0.3673094582185491</v>
      </c>
      <c r="AD19" s="289"/>
      <c r="AE19" s="290" t="s">
        <v>525</v>
      </c>
      <c r="AF19" s="291">
        <v>6</v>
      </c>
      <c r="AG19" s="292" t="s">
        <v>1034</v>
      </c>
      <c r="AH19" s="293" t="s">
        <v>1233</v>
      </c>
    </row>
    <row r="20" spans="1:41" s="107" customFormat="1">
      <c r="A20" s="242" t="s">
        <v>853</v>
      </c>
      <c r="B20" s="282" t="s">
        <v>301</v>
      </c>
      <c r="C20" s="106" t="s">
        <v>786</v>
      </c>
      <c r="D20" s="491" t="s">
        <v>1094</v>
      </c>
      <c r="E20" s="490" t="s">
        <v>1094</v>
      </c>
      <c r="F20" s="490" t="s">
        <v>883</v>
      </c>
      <c r="G20" s="490" t="s">
        <v>883</v>
      </c>
      <c r="H20" s="411" t="s">
        <v>1094</v>
      </c>
      <c r="I20" s="490" t="s">
        <v>883</v>
      </c>
      <c r="J20" s="411" t="s">
        <v>1094</v>
      </c>
      <c r="K20" s="416">
        <f t="shared" si="0"/>
        <v>1.0416666666666667E-4</v>
      </c>
      <c r="L20" s="490" t="s">
        <v>883</v>
      </c>
      <c r="M20" s="401" t="s">
        <v>1094</v>
      </c>
      <c r="N20" s="401" t="s">
        <v>1094</v>
      </c>
      <c r="O20" s="401" t="s">
        <v>1094</v>
      </c>
      <c r="P20" s="401" t="s">
        <v>1094</v>
      </c>
      <c r="Q20" s="401" t="s">
        <v>1094</v>
      </c>
      <c r="R20" s="490" t="s">
        <v>883</v>
      </c>
      <c r="S20" s="490" t="s">
        <v>883</v>
      </c>
      <c r="T20" s="490" t="s">
        <v>883</v>
      </c>
      <c r="U20" s="490" t="s">
        <v>883</v>
      </c>
      <c r="V20" s="284">
        <f t="shared" si="1"/>
        <v>1.0587500000000001</v>
      </c>
      <c r="W20" s="285"/>
      <c r="X20" s="286"/>
      <c r="Y20" s="287">
        <f>SUM(Z20/16)</f>
        <v>9.375</v>
      </c>
      <c r="Z20" s="287">
        <v>150</v>
      </c>
      <c r="AA20" s="288">
        <v>90000</v>
      </c>
      <c r="AB20" s="261">
        <f t="shared" si="2"/>
        <v>2.0661157024793386</v>
      </c>
      <c r="AC20" s="261">
        <f t="shared" si="3"/>
        <v>33.057851239669418</v>
      </c>
      <c r="AD20" s="289"/>
      <c r="AE20" s="290" t="s">
        <v>863</v>
      </c>
      <c r="AF20" s="291">
        <v>7</v>
      </c>
      <c r="AG20" s="292" t="s">
        <v>1034</v>
      </c>
      <c r="AH20" s="293" t="s">
        <v>955</v>
      </c>
    </row>
    <row r="21" spans="1:41" s="107" customFormat="1">
      <c r="A21" s="242" t="s">
        <v>853</v>
      </c>
      <c r="B21" s="297" t="s">
        <v>1234</v>
      </c>
      <c r="C21" s="108" t="s">
        <v>237</v>
      </c>
      <c r="D21" s="490" t="s">
        <v>883</v>
      </c>
      <c r="E21" s="497" t="s">
        <v>1094</v>
      </c>
      <c r="F21" s="490" t="s">
        <v>883</v>
      </c>
      <c r="G21" s="490" t="s">
        <v>883</v>
      </c>
      <c r="H21" s="411" t="s">
        <v>1094</v>
      </c>
      <c r="I21" s="490" t="s">
        <v>883</v>
      </c>
      <c r="J21" s="411" t="s">
        <v>1094</v>
      </c>
      <c r="K21" s="416">
        <f t="shared" si="0"/>
        <v>2.24E-2</v>
      </c>
      <c r="L21" s="401" t="s">
        <v>1094</v>
      </c>
      <c r="M21" s="401" t="s">
        <v>1094</v>
      </c>
      <c r="N21" s="401" t="s">
        <v>1094</v>
      </c>
      <c r="O21" s="401" t="s">
        <v>1094</v>
      </c>
      <c r="P21" s="401" t="s">
        <v>1094</v>
      </c>
      <c r="Q21" s="401" t="s">
        <v>1094</v>
      </c>
      <c r="R21" s="401" t="s">
        <v>1094</v>
      </c>
      <c r="S21" s="401" t="s">
        <v>1094</v>
      </c>
      <c r="T21" s="401" t="s">
        <v>1094</v>
      </c>
      <c r="U21" s="401" t="s">
        <v>1094</v>
      </c>
      <c r="V21" s="284">
        <f t="shared" si="1"/>
        <v>7.6230000000000002</v>
      </c>
      <c r="W21" s="299"/>
      <c r="X21" s="299"/>
      <c r="Y21" s="287">
        <f>SUM(Z21/16)</f>
        <v>280</v>
      </c>
      <c r="Z21" s="287">
        <v>4480</v>
      </c>
      <c r="AA21" s="288">
        <v>12500</v>
      </c>
      <c r="AB21" s="261">
        <f t="shared" si="2"/>
        <v>0.28696051423324148</v>
      </c>
      <c r="AC21" s="261">
        <f t="shared" si="3"/>
        <v>4.5913682277318637</v>
      </c>
      <c r="AD21" s="282"/>
      <c r="AE21" s="290" t="s">
        <v>525</v>
      </c>
      <c r="AF21" s="291">
        <v>5</v>
      </c>
      <c r="AG21" s="292" t="s">
        <v>1034</v>
      </c>
      <c r="AH21" s="293" t="s">
        <v>946</v>
      </c>
      <c r="AI21" s="220"/>
      <c r="AK21" s="220"/>
      <c r="AM21" s="220"/>
      <c r="AN21" s="220"/>
      <c r="AO21" s="220"/>
    </row>
    <row r="22" spans="1:41" s="107" customFormat="1">
      <c r="A22" s="242" t="s">
        <v>853</v>
      </c>
      <c r="B22" s="282" t="s">
        <v>302</v>
      </c>
      <c r="C22" s="121" t="s">
        <v>772</v>
      </c>
      <c r="D22" s="490" t="s">
        <v>883</v>
      </c>
      <c r="E22" s="490" t="s">
        <v>883</v>
      </c>
      <c r="F22" s="490" t="s">
        <v>1094</v>
      </c>
      <c r="G22" s="411" t="s">
        <v>1094</v>
      </c>
      <c r="H22" s="411" t="s">
        <v>1094</v>
      </c>
      <c r="I22" s="411" t="s">
        <v>1094</v>
      </c>
      <c r="J22" s="490" t="s">
        <v>883</v>
      </c>
      <c r="K22" s="416">
        <f t="shared" si="0"/>
        <v>4.3010752688172043E-4</v>
      </c>
      <c r="L22" s="401" t="s">
        <v>1094</v>
      </c>
      <c r="M22" s="401" t="s">
        <v>1094</v>
      </c>
      <c r="N22" s="401" t="s">
        <v>1094</v>
      </c>
      <c r="O22" s="401" t="s">
        <v>1094</v>
      </c>
      <c r="P22" s="401" t="s">
        <v>1094</v>
      </c>
      <c r="Q22" s="401" t="s">
        <v>1094</v>
      </c>
      <c r="R22" s="401" t="s">
        <v>1094</v>
      </c>
      <c r="S22" s="401" t="s">
        <v>1094</v>
      </c>
      <c r="T22" s="401" t="s">
        <v>1094</v>
      </c>
      <c r="U22" s="401" t="s">
        <v>1094</v>
      </c>
      <c r="V22" s="284">
        <f t="shared" si="1"/>
        <v>1.0245967741935484</v>
      </c>
      <c r="W22" s="285"/>
      <c r="X22" s="286"/>
      <c r="Y22" s="287">
        <v>40</v>
      </c>
      <c r="Z22" s="287">
        <v>640</v>
      </c>
      <c r="AA22" s="288">
        <v>93000</v>
      </c>
      <c r="AB22" s="261">
        <f t="shared" si="2"/>
        <v>2.1349862258953167</v>
      </c>
      <c r="AC22" s="261">
        <f t="shared" si="3"/>
        <v>34.159779614325068</v>
      </c>
      <c r="AD22" s="289"/>
      <c r="AE22" s="290" t="s">
        <v>294</v>
      </c>
      <c r="AF22" s="291">
        <v>3</v>
      </c>
      <c r="AG22" s="292" t="s">
        <v>1034</v>
      </c>
      <c r="AH22" s="293" t="s">
        <v>956</v>
      </c>
      <c r="AI22" s="221"/>
      <c r="AK22" s="221"/>
      <c r="AM22" s="221"/>
      <c r="AN22" s="221"/>
      <c r="AO22" s="221"/>
    </row>
    <row r="23" spans="1:41" s="107" customFormat="1">
      <c r="A23" s="300" t="s">
        <v>853</v>
      </c>
      <c r="B23" s="301" t="s">
        <v>303</v>
      </c>
      <c r="C23" s="106" t="s">
        <v>601</v>
      </c>
      <c r="D23" s="491" t="s">
        <v>1094</v>
      </c>
      <c r="E23" s="491" t="s">
        <v>1094</v>
      </c>
      <c r="F23" s="490" t="s">
        <v>883</v>
      </c>
      <c r="G23" s="413" t="s">
        <v>1094</v>
      </c>
      <c r="H23" s="413" t="s">
        <v>1094</v>
      </c>
      <c r="I23" s="490" t="s">
        <v>883</v>
      </c>
      <c r="J23" s="490" t="s">
        <v>883</v>
      </c>
      <c r="K23" s="416">
        <f t="shared" si="0"/>
        <v>6.2500000000000003E-3</v>
      </c>
      <c r="L23" s="490" t="s">
        <v>883</v>
      </c>
      <c r="M23" s="490" t="s">
        <v>883</v>
      </c>
      <c r="N23" s="490" t="s">
        <v>883</v>
      </c>
      <c r="O23" s="490" t="s">
        <v>883</v>
      </c>
      <c r="P23" s="490" t="s">
        <v>883</v>
      </c>
      <c r="Q23" s="490" t="s">
        <v>883</v>
      </c>
      <c r="R23" s="490" t="s">
        <v>883</v>
      </c>
      <c r="S23" s="490" t="s">
        <v>883</v>
      </c>
      <c r="T23" s="401" t="s">
        <v>1094</v>
      </c>
      <c r="U23" s="490" t="s">
        <v>883</v>
      </c>
      <c r="V23" s="302">
        <f t="shared" si="1"/>
        <v>63.524999999999999</v>
      </c>
      <c r="W23" s="303"/>
      <c r="X23" s="304"/>
      <c r="Y23" s="287">
        <f t="shared" ref="Y23:Y41" si="4">SUM(Z23/16)</f>
        <v>9.375</v>
      </c>
      <c r="Z23" s="305">
        <v>150</v>
      </c>
      <c r="AA23" s="306">
        <v>1500</v>
      </c>
      <c r="AB23" s="261">
        <f t="shared" si="2"/>
        <v>3.4435261707988982E-2</v>
      </c>
      <c r="AC23" s="307">
        <f t="shared" si="3"/>
        <v>0.55096418732782371</v>
      </c>
      <c r="AD23" s="308"/>
      <c r="AE23" s="309" t="s">
        <v>525</v>
      </c>
      <c r="AF23" s="310">
        <v>0</v>
      </c>
      <c r="AG23" s="311" t="s">
        <v>1037</v>
      </c>
      <c r="AH23" s="312" t="s">
        <v>957</v>
      </c>
    </row>
    <row r="24" spans="1:41" s="220" customFormat="1">
      <c r="A24" s="242" t="s">
        <v>853</v>
      </c>
      <c r="B24" s="282" t="s">
        <v>822</v>
      </c>
      <c r="C24" s="121" t="s">
        <v>698</v>
      </c>
      <c r="D24" s="490" t="s">
        <v>883</v>
      </c>
      <c r="E24" s="490" t="s">
        <v>1094</v>
      </c>
      <c r="F24" s="490" t="s">
        <v>883</v>
      </c>
      <c r="G24" s="490" t="s">
        <v>883</v>
      </c>
      <c r="H24" s="411" t="s">
        <v>883</v>
      </c>
      <c r="I24" s="490" t="s">
        <v>883</v>
      </c>
      <c r="J24" s="411" t="s">
        <v>1094</v>
      </c>
      <c r="K24" s="416">
        <f t="shared" si="0"/>
        <v>2.0618556701030927E-2</v>
      </c>
      <c r="L24" s="401" t="s">
        <v>1094</v>
      </c>
      <c r="M24" s="401" t="s">
        <v>1094</v>
      </c>
      <c r="N24" s="401" t="s">
        <v>1094</v>
      </c>
      <c r="O24" s="401" t="s">
        <v>1094</v>
      </c>
      <c r="P24" s="401" t="s">
        <v>1094</v>
      </c>
      <c r="Q24" s="401" t="s">
        <v>1094</v>
      </c>
      <c r="R24" s="401" t="s">
        <v>1094</v>
      </c>
      <c r="S24" s="401" t="s">
        <v>1094</v>
      </c>
      <c r="T24" s="401" t="s">
        <v>1094</v>
      </c>
      <c r="U24" s="401" t="s">
        <v>1094</v>
      </c>
      <c r="V24" s="284">
        <f t="shared" si="1"/>
        <v>9.8234536082474229</v>
      </c>
      <c r="W24" s="285"/>
      <c r="X24" s="286"/>
      <c r="Y24" s="287">
        <f t="shared" si="4"/>
        <v>200</v>
      </c>
      <c r="Z24" s="287">
        <v>3200</v>
      </c>
      <c r="AA24" s="288">
        <v>9700</v>
      </c>
      <c r="AB24" s="261">
        <f t="shared" si="2"/>
        <v>0.22268135904499542</v>
      </c>
      <c r="AC24" s="261">
        <f t="shared" si="3"/>
        <v>3.5629017447199267</v>
      </c>
      <c r="AD24" s="289"/>
      <c r="AE24" s="290" t="s">
        <v>290</v>
      </c>
      <c r="AF24" s="291">
        <v>4</v>
      </c>
      <c r="AG24" s="292" t="s">
        <v>1034</v>
      </c>
      <c r="AH24" s="293" t="s">
        <v>946</v>
      </c>
      <c r="AI24" s="219"/>
      <c r="AJ24" s="107"/>
      <c r="AK24" s="219"/>
      <c r="AL24" s="107"/>
      <c r="AM24" s="219"/>
      <c r="AN24" s="219"/>
      <c r="AO24" s="219"/>
    </row>
    <row r="25" spans="1:41" s="221" customFormat="1">
      <c r="A25" s="242" t="s">
        <v>853</v>
      </c>
      <c r="B25" s="282" t="s">
        <v>1087</v>
      </c>
      <c r="C25" s="121" t="s">
        <v>647</v>
      </c>
      <c r="D25" s="490" t="s">
        <v>883</v>
      </c>
      <c r="E25" s="490" t="s">
        <v>883</v>
      </c>
      <c r="F25" s="490" t="s">
        <v>1094</v>
      </c>
      <c r="G25" s="411" t="s">
        <v>1094</v>
      </c>
      <c r="H25" s="411" t="s">
        <v>1094</v>
      </c>
      <c r="I25" s="411" t="s">
        <v>1094</v>
      </c>
      <c r="J25" s="490" t="s">
        <v>883</v>
      </c>
      <c r="K25" s="416">
        <f t="shared" si="0"/>
        <v>1.171875E-4</v>
      </c>
      <c r="L25" s="401" t="s">
        <v>1094</v>
      </c>
      <c r="M25" s="401" t="s">
        <v>1094</v>
      </c>
      <c r="N25" s="401" t="s">
        <v>1094</v>
      </c>
      <c r="O25" s="401" t="s">
        <v>1094</v>
      </c>
      <c r="P25" s="401" t="s">
        <v>1094</v>
      </c>
      <c r="Q25" s="401" t="s">
        <v>1094</v>
      </c>
      <c r="R25" s="401" t="s">
        <v>1094</v>
      </c>
      <c r="S25" s="401" t="s">
        <v>1094</v>
      </c>
      <c r="T25" s="401" t="s">
        <v>1094</v>
      </c>
      <c r="U25" s="401" t="s">
        <v>1094</v>
      </c>
      <c r="V25" s="284">
        <f t="shared" si="1"/>
        <v>0.59554687500000003</v>
      </c>
      <c r="W25" s="285"/>
      <c r="X25" s="286"/>
      <c r="Y25" s="287">
        <f t="shared" si="4"/>
        <v>18.75</v>
      </c>
      <c r="Z25" s="287">
        <v>300</v>
      </c>
      <c r="AA25" s="288">
        <v>160000</v>
      </c>
      <c r="AB25" s="261">
        <f t="shared" si="2"/>
        <v>3.6730945821854912</v>
      </c>
      <c r="AC25" s="261">
        <f t="shared" si="3"/>
        <v>58.76951331496786</v>
      </c>
      <c r="AD25" s="289"/>
      <c r="AE25" s="290" t="s">
        <v>294</v>
      </c>
      <c r="AF25" s="291">
        <v>6</v>
      </c>
      <c r="AG25" s="292" t="s">
        <v>1034</v>
      </c>
      <c r="AH25" s="293" t="s">
        <v>1235</v>
      </c>
      <c r="AI25" s="107"/>
      <c r="AJ25" s="107"/>
      <c r="AK25" s="107"/>
      <c r="AL25" s="107"/>
      <c r="AM25" s="107"/>
      <c r="AN25" s="107"/>
      <c r="AO25" s="107"/>
    </row>
    <row r="26" spans="1:41" s="107" customFormat="1">
      <c r="A26" s="242" t="s">
        <v>853</v>
      </c>
      <c r="B26" s="282" t="s">
        <v>304</v>
      </c>
      <c r="C26" s="121" t="s">
        <v>654</v>
      </c>
      <c r="D26" s="490" t="s">
        <v>883</v>
      </c>
      <c r="E26" s="490" t="s">
        <v>1094</v>
      </c>
      <c r="F26" s="490" t="s">
        <v>1094</v>
      </c>
      <c r="G26" s="411" t="s">
        <v>1094</v>
      </c>
      <c r="H26" s="411" t="s">
        <v>1094</v>
      </c>
      <c r="I26" s="411" t="s">
        <v>1094</v>
      </c>
      <c r="J26" s="490" t="s">
        <v>883</v>
      </c>
      <c r="K26" s="416">
        <f t="shared" si="0"/>
        <v>3.3482142857142857E-4</v>
      </c>
      <c r="L26" s="490" t="s">
        <v>883</v>
      </c>
      <c r="M26" s="401" t="s">
        <v>1094</v>
      </c>
      <c r="N26" s="401" t="s">
        <v>1094</v>
      </c>
      <c r="O26" s="490" t="s">
        <v>883</v>
      </c>
      <c r="P26" s="490" t="s">
        <v>883</v>
      </c>
      <c r="Q26" s="490" t="s">
        <v>883</v>
      </c>
      <c r="R26" s="401" t="s">
        <v>1094</v>
      </c>
      <c r="S26" s="401" t="s">
        <v>1094</v>
      </c>
      <c r="T26" s="401" t="s">
        <v>1094</v>
      </c>
      <c r="U26" s="490" t="s">
        <v>883</v>
      </c>
      <c r="V26" s="284">
        <f t="shared" si="1"/>
        <v>0.34031250000000002</v>
      </c>
      <c r="W26" s="285"/>
      <c r="X26" s="286"/>
      <c r="Y26" s="287">
        <f t="shared" si="4"/>
        <v>93.75</v>
      </c>
      <c r="Z26" s="287">
        <v>1500</v>
      </c>
      <c r="AA26" s="288">
        <v>280000</v>
      </c>
      <c r="AB26" s="261">
        <f t="shared" si="2"/>
        <v>6.4279155188246095</v>
      </c>
      <c r="AC26" s="261">
        <f t="shared" si="3"/>
        <v>102.84664830119375</v>
      </c>
      <c r="AD26" s="289"/>
      <c r="AE26" s="290" t="s">
        <v>294</v>
      </c>
      <c r="AF26" s="291">
        <v>8</v>
      </c>
      <c r="AG26" s="292" t="s">
        <v>1034</v>
      </c>
      <c r="AH26" s="293" t="s">
        <v>1236</v>
      </c>
    </row>
    <row r="27" spans="1:41" s="219" customFormat="1" ht="14.25" customHeight="1">
      <c r="A27" s="242" t="s">
        <v>853</v>
      </c>
      <c r="B27" s="282" t="s">
        <v>305</v>
      </c>
      <c r="C27" s="121" t="s">
        <v>730</v>
      </c>
      <c r="D27" s="490" t="s">
        <v>883</v>
      </c>
      <c r="E27" s="490" t="s">
        <v>883</v>
      </c>
      <c r="F27" s="490" t="s">
        <v>1094</v>
      </c>
      <c r="G27" s="411" t="s">
        <v>1094</v>
      </c>
      <c r="H27" s="490" t="s">
        <v>883</v>
      </c>
      <c r="I27" s="411" t="s">
        <v>1094</v>
      </c>
      <c r="J27" s="490" t="s">
        <v>883</v>
      </c>
      <c r="K27" s="416">
        <f t="shared" si="0"/>
        <v>5.0000000000000001E-3</v>
      </c>
      <c r="L27" s="490" t="s">
        <v>883</v>
      </c>
      <c r="M27" s="401" t="s">
        <v>1094</v>
      </c>
      <c r="N27" s="490" t="s">
        <v>883</v>
      </c>
      <c r="O27" s="401" t="s">
        <v>1094</v>
      </c>
      <c r="P27" s="401" t="s">
        <v>1094</v>
      </c>
      <c r="Q27" s="490" t="s">
        <v>883</v>
      </c>
      <c r="R27" s="490" t="s">
        <v>883</v>
      </c>
      <c r="S27" s="490" t="s">
        <v>883</v>
      </c>
      <c r="T27" s="490" t="s">
        <v>883</v>
      </c>
      <c r="U27" s="490" t="s">
        <v>883</v>
      </c>
      <c r="V27" s="284">
        <f t="shared" si="1"/>
        <v>7.9406249999999998</v>
      </c>
      <c r="W27" s="285"/>
      <c r="X27" s="286"/>
      <c r="Y27" s="287">
        <f t="shared" si="4"/>
        <v>60</v>
      </c>
      <c r="Z27" s="287">
        <v>960</v>
      </c>
      <c r="AA27" s="288">
        <v>12000</v>
      </c>
      <c r="AB27" s="261">
        <f t="shared" si="2"/>
        <v>0.27548209366391185</v>
      </c>
      <c r="AC27" s="261">
        <f t="shared" si="3"/>
        <v>4.4077134986225897</v>
      </c>
      <c r="AD27" s="289"/>
      <c r="AE27" s="290" t="s">
        <v>863</v>
      </c>
      <c r="AF27" s="291">
        <v>6</v>
      </c>
      <c r="AG27" s="292" t="s">
        <v>1036</v>
      </c>
      <c r="AH27" s="293" t="s">
        <v>946</v>
      </c>
      <c r="AI27" s="107"/>
      <c r="AJ27" s="107"/>
      <c r="AK27" s="107"/>
      <c r="AL27" s="107"/>
      <c r="AM27" s="107"/>
      <c r="AN27" s="107"/>
      <c r="AO27" s="107"/>
    </row>
    <row r="28" spans="1:41" s="107" customFormat="1">
      <c r="A28" s="242" t="s">
        <v>853</v>
      </c>
      <c r="B28" s="282" t="s">
        <v>1237</v>
      </c>
      <c r="C28" s="121" t="s">
        <v>737</v>
      </c>
      <c r="D28" s="490" t="s">
        <v>883</v>
      </c>
      <c r="E28" s="490" t="s">
        <v>1094</v>
      </c>
      <c r="F28" s="490" t="s">
        <v>1094</v>
      </c>
      <c r="G28" s="411" t="s">
        <v>1094</v>
      </c>
      <c r="H28" s="411" t="s">
        <v>1094</v>
      </c>
      <c r="I28" s="411" t="s">
        <v>1094</v>
      </c>
      <c r="J28" s="490" t="s">
        <v>1094</v>
      </c>
      <c r="K28" s="416">
        <f t="shared" si="0"/>
        <v>1.308139534883721E-4</v>
      </c>
      <c r="L28" s="490" t="s">
        <v>883</v>
      </c>
      <c r="M28" s="401" t="s">
        <v>1094</v>
      </c>
      <c r="N28" s="401" t="s">
        <v>1094</v>
      </c>
      <c r="O28" s="401" t="s">
        <v>1094</v>
      </c>
      <c r="P28" s="401" t="s">
        <v>1094</v>
      </c>
      <c r="Q28" s="490" t="s">
        <v>883</v>
      </c>
      <c r="R28" s="401" t="s">
        <v>1094</v>
      </c>
      <c r="S28" s="401" t="s">
        <v>1094</v>
      </c>
      <c r="T28" s="401" t="s">
        <v>1094</v>
      </c>
      <c r="U28" s="490" t="s">
        <v>883</v>
      </c>
      <c r="V28" s="284">
        <f t="shared" si="1"/>
        <v>2.2159883720930234</v>
      </c>
      <c r="W28" s="285"/>
      <c r="X28" s="286"/>
      <c r="Y28" s="287">
        <f t="shared" si="4"/>
        <v>5.625</v>
      </c>
      <c r="Z28" s="287">
        <v>90</v>
      </c>
      <c r="AA28" s="288">
        <v>43000</v>
      </c>
      <c r="AB28" s="261">
        <f t="shared" si="2"/>
        <v>0.9871441689623508</v>
      </c>
      <c r="AC28" s="261">
        <f t="shared" si="3"/>
        <v>15.794306703397613</v>
      </c>
      <c r="AD28" s="289"/>
      <c r="AE28" s="290" t="s">
        <v>294</v>
      </c>
      <c r="AF28" s="291">
        <v>5</v>
      </c>
      <c r="AG28" s="292" t="s">
        <v>1035</v>
      </c>
      <c r="AH28" s="293" t="s">
        <v>1238</v>
      </c>
      <c r="AI28" s="209"/>
      <c r="AJ28" s="209"/>
      <c r="AK28" s="209"/>
      <c r="AL28" s="209"/>
      <c r="AM28" s="209"/>
      <c r="AN28" s="209"/>
      <c r="AO28" s="209"/>
    </row>
    <row r="29" spans="1:41" s="107" customFormat="1">
      <c r="A29" s="242" t="s">
        <v>853</v>
      </c>
      <c r="B29" s="282" t="s">
        <v>306</v>
      </c>
      <c r="C29" s="121" t="s">
        <v>1292</v>
      </c>
      <c r="D29" s="498" t="s">
        <v>883</v>
      </c>
      <c r="E29" s="492" t="s">
        <v>1094</v>
      </c>
      <c r="F29" s="492" t="s">
        <v>1094</v>
      </c>
      <c r="G29" s="414" t="s">
        <v>1094</v>
      </c>
      <c r="H29" s="414" t="s">
        <v>1094</v>
      </c>
      <c r="I29" s="493" t="s">
        <v>883</v>
      </c>
      <c r="J29" s="493" t="s">
        <v>883</v>
      </c>
      <c r="K29" s="416">
        <f t="shared" si="0"/>
        <v>8.8888888888888889E-3</v>
      </c>
      <c r="L29" s="493" t="s">
        <v>883</v>
      </c>
      <c r="M29" s="416" t="s">
        <v>1094</v>
      </c>
      <c r="N29" s="493" t="s">
        <v>883</v>
      </c>
      <c r="O29" s="493" t="s">
        <v>883</v>
      </c>
      <c r="P29" s="416" t="s">
        <v>1094</v>
      </c>
      <c r="Q29" s="493" t="s">
        <v>883</v>
      </c>
      <c r="R29" s="416" t="s">
        <v>1094</v>
      </c>
      <c r="S29" s="416" t="s">
        <v>1094</v>
      </c>
      <c r="T29" s="493" t="s">
        <v>883</v>
      </c>
      <c r="U29" s="493" t="s">
        <v>883</v>
      </c>
      <c r="V29" s="284">
        <f t="shared" si="1"/>
        <v>10.5875</v>
      </c>
      <c r="W29" s="285"/>
      <c r="X29" s="286"/>
      <c r="Y29" s="287">
        <f t="shared" si="4"/>
        <v>80</v>
      </c>
      <c r="Z29" s="287">
        <v>1280</v>
      </c>
      <c r="AA29" s="288">
        <v>9000</v>
      </c>
      <c r="AB29" s="261">
        <f t="shared" si="2"/>
        <v>0.20661157024793389</v>
      </c>
      <c r="AC29" s="261">
        <f t="shared" si="3"/>
        <v>3.3057851239669422</v>
      </c>
      <c r="AD29" s="289"/>
      <c r="AE29" s="290" t="s">
        <v>863</v>
      </c>
      <c r="AF29" s="291">
        <v>8</v>
      </c>
      <c r="AG29" s="292" t="s">
        <v>1034</v>
      </c>
      <c r="AH29" s="293" t="s">
        <v>946</v>
      </c>
    </row>
    <row r="30" spans="1:41" s="107" customFormat="1">
      <c r="A30" s="242" t="s">
        <v>853</v>
      </c>
      <c r="B30" s="282" t="s">
        <v>498</v>
      </c>
      <c r="C30" s="122" t="s">
        <v>514</v>
      </c>
      <c r="D30" s="421" t="s">
        <v>1094</v>
      </c>
      <c r="E30" s="490" t="s">
        <v>883</v>
      </c>
      <c r="F30" s="490" t="s">
        <v>883</v>
      </c>
      <c r="G30" s="411" t="s">
        <v>1094</v>
      </c>
      <c r="H30" s="490" t="s">
        <v>1094</v>
      </c>
      <c r="I30" s="490" t="s">
        <v>883</v>
      </c>
      <c r="J30" s="490" t="s">
        <v>1094</v>
      </c>
      <c r="K30" s="416">
        <f t="shared" si="0"/>
        <v>2.75E-2</v>
      </c>
      <c r="L30" s="490" t="s">
        <v>883</v>
      </c>
      <c r="M30" s="490" t="s">
        <v>883</v>
      </c>
      <c r="N30" s="490" t="s">
        <v>883</v>
      </c>
      <c r="O30" s="490" t="s">
        <v>883</v>
      </c>
      <c r="P30" s="490" t="s">
        <v>883</v>
      </c>
      <c r="Q30" s="490" t="s">
        <v>883</v>
      </c>
      <c r="R30" s="490" t="s">
        <v>883</v>
      </c>
      <c r="S30" s="490" t="s">
        <v>883</v>
      </c>
      <c r="T30" s="401" t="s">
        <v>1094</v>
      </c>
      <c r="U30" s="490" t="s">
        <v>883</v>
      </c>
      <c r="V30" s="314">
        <f t="shared" si="1"/>
        <v>23.821875000000002</v>
      </c>
      <c r="W30" s="285"/>
      <c r="X30" s="285"/>
      <c r="Y30" s="287">
        <f t="shared" si="4"/>
        <v>110</v>
      </c>
      <c r="Z30" s="287">
        <v>1760</v>
      </c>
      <c r="AA30" s="288">
        <v>4000</v>
      </c>
      <c r="AB30" s="261">
        <f t="shared" si="2"/>
        <v>9.1827364554637275E-2</v>
      </c>
      <c r="AC30" s="261">
        <f t="shared" si="3"/>
        <v>1.4692378328741964</v>
      </c>
      <c r="AD30" s="289"/>
      <c r="AE30" s="290" t="s">
        <v>863</v>
      </c>
      <c r="AF30" s="291">
        <v>0</v>
      </c>
      <c r="AG30" s="292" t="s">
        <v>1034</v>
      </c>
      <c r="AH30" s="293" t="s">
        <v>946</v>
      </c>
    </row>
    <row r="31" spans="1:41" s="209" customFormat="1">
      <c r="A31" s="242" t="s">
        <v>853</v>
      </c>
      <c r="B31" s="282" t="s">
        <v>307</v>
      </c>
      <c r="C31" s="106" t="s">
        <v>875</v>
      </c>
      <c r="D31" s="491" t="s">
        <v>1094</v>
      </c>
      <c r="E31" s="491" t="s">
        <v>1094</v>
      </c>
      <c r="F31" s="490" t="s">
        <v>883</v>
      </c>
      <c r="G31" s="411" t="s">
        <v>1094</v>
      </c>
      <c r="H31" s="411" t="s">
        <v>1094</v>
      </c>
      <c r="I31" s="490" t="s">
        <v>883</v>
      </c>
      <c r="J31" s="490" t="s">
        <v>883</v>
      </c>
      <c r="K31" s="416">
        <f t="shared" si="0"/>
        <v>4.3604651162790697E-3</v>
      </c>
      <c r="L31" s="401" t="s">
        <v>1094</v>
      </c>
      <c r="M31" s="401" t="s">
        <v>1094</v>
      </c>
      <c r="N31" s="401" t="s">
        <v>1094</v>
      </c>
      <c r="O31" s="401" t="s">
        <v>1094</v>
      </c>
      <c r="P31" s="401" t="s">
        <v>1094</v>
      </c>
      <c r="Q31" s="401" t="s">
        <v>1094</v>
      </c>
      <c r="R31" s="401" t="s">
        <v>1094</v>
      </c>
      <c r="S31" s="401" t="s">
        <v>1094</v>
      </c>
      <c r="T31" s="401" t="s">
        <v>1094</v>
      </c>
      <c r="U31" s="401" t="s">
        <v>1094</v>
      </c>
      <c r="V31" s="284">
        <f t="shared" si="1"/>
        <v>22.159883720930235</v>
      </c>
      <c r="W31" s="285"/>
      <c r="X31" s="286"/>
      <c r="Y31" s="287">
        <f t="shared" si="4"/>
        <v>18.75</v>
      </c>
      <c r="Z31" s="287">
        <v>300</v>
      </c>
      <c r="AA31" s="288">
        <v>4300</v>
      </c>
      <c r="AB31" s="261">
        <f t="shared" si="2"/>
        <v>9.8714416896235072E-2</v>
      </c>
      <c r="AC31" s="261">
        <f t="shared" si="3"/>
        <v>1.5794306703397611</v>
      </c>
      <c r="AD31" s="289"/>
      <c r="AE31" s="290" t="s">
        <v>863</v>
      </c>
      <c r="AF31" s="291">
        <v>6</v>
      </c>
      <c r="AG31" s="292" t="s">
        <v>1034</v>
      </c>
      <c r="AH31" s="293" t="s">
        <v>960</v>
      </c>
      <c r="AI31" s="107"/>
      <c r="AJ31" s="107"/>
      <c r="AK31" s="107"/>
      <c r="AL31" s="107"/>
      <c r="AM31" s="107"/>
      <c r="AN31" s="107"/>
      <c r="AO31" s="107"/>
    </row>
    <row r="32" spans="1:41" s="107" customFormat="1">
      <c r="A32" s="242" t="s">
        <v>853</v>
      </c>
      <c r="B32" s="282" t="s">
        <v>308</v>
      </c>
      <c r="C32" s="106" t="s">
        <v>1074</v>
      </c>
      <c r="D32" s="490" t="s">
        <v>883</v>
      </c>
      <c r="E32" s="491" t="s">
        <v>1094</v>
      </c>
      <c r="F32" s="491" t="s">
        <v>1094</v>
      </c>
      <c r="G32" s="411" t="s">
        <v>1094</v>
      </c>
      <c r="H32" s="411" t="s">
        <v>1094</v>
      </c>
      <c r="I32" s="411" t="s">
        <v>1094</v>
      </c>
      <c r="J32" s="490" t="s">
        <v>883</v>
      </c>
      <c r="K32" s="416">
        <f t="shared" si="0"/>
        <v>2.3437499999999999E-3</v>
      </c>
      <c r="L32" s="401" t="s">
        <v>1094</v>
      </c>
      <c r="M32" s="401" t="s">
        <v>1094</v>
      </c>
      <c r="N32" s="401" t="s">
        <v>1094</v>
      </c>
      <c r="O32" s="401" t="s">
        <v>1094</v>
      </c>
      <c r="P32" s="401" t="s">
        <v>1094</v>
      </c>
      <c r="Q32" s="401" t="s">
        <v>1094</v>
      </c>
      <c r="R32" s="401" t="s">
        <v>1094</v>
      </c>
      <c r="S32" s="401" t="s">
        <v>1094</v>
      </c>
      <c r="T32" s="401" t="s">
        <v>1094</v>
      </c>
      <c r="U32" s="401" t="s">
        <v>1094</v>
      </c>
      <c r="V32" s="284">
        <f t="shared" si="1"/>
        <v>11.910937500000001</v>
      </c>
      <c r="W32" s="285"/>
      <c r="X32" s="286"/>
      <c r="Y32" s="287">
        <f t="shared" si="4"/>
        <v>18.75</v>
      </c>
      <c r="Z32" s="287">
        <v>300</v>
      </c>
      <c r="AA32" s="288">
        <v>8000</v>
      </c>
      <c r="AB32" s="261">
        <f t="shared" si="2"/>
        <v>0.18365472910927455</v>
      </c>
      <c r="AC32" s="261">
        <f t="shared" si="3"/>
        <v>2.9384756657483928</v>
      </c>
      <c r="AD32" s="289"/>
      <c r="AE32" s="290" t="s">
        <v>525</v>
      </c>
      <c r="AF32" s="291">
        <v>2</v>
      </c>
      <c r="AG32" s="292" t="s">
        <v>1034</v>
      </c>
      <c r="AH32" s="293" t="s">
        <v>961</v>
      </c>
    </row>
    <row r="33" spans="1:41" s="107" customFormat="1">
      <c r="A33" s="242" t="s">
        <v>853</v>
      </c>
      <c r="B33" s="297" t="s">
        <v>1239</v>
      </c>
      <c r="C33" s="121" t="s">
        <v>710</v>
      </c>
      <c r="D33" s="490" t="s">
        <v>1094</v>
      </c>
      <c r="E33" s="490" t="s">
        <v>1094</v>
      </c>
      <c r="F33" s="490" t="s">
        <v>883</v>
      </c>
      <c r="G33" s="411" t="s">
        <v>1094</v>
      </c>
      <c r="H33" s="411" t="s">
        <v>1094</v>
      </c>
      <c r="I33" s="490" t="s">
        <v>883</v>
      </c>
      <c r="J33" s="490" t="s">
        <v>1094</v>
      </c>
      <c r="K33" s="416">
        <f t="shared" si="0"/>
        <v>1.8181818181818182E-3</v>
      </c>
      <c r="L33" s="490" t="s">
        <v>1094</v>
      </c>
      <c r="M33" s="401" t="s">
        <v>1094</v>
      </c>
      <c r="N33" s="401" t="s">
        <v>1094</v>
      </c>
      <c r="O33" s="401" t="s">
        <v>1094</v>
      </c>
      <c r="P33" s="401" t="s">
        <v>1094</v>
      </c>
      <c r="Q33" s="401" t="s">
        <v>1094</v>
      </c>
      <c r="R33" s="401" t="s">
        <v>1094</v>
      </c>
      <c r="S33" s="401" t="s">
        <v>1094</v>
      </c>
      <c r="T33" s="401" t="s">
        <v>1094</v>
      </c>
      <c r="U33" s="401" t="s">
        <v>1094</v>
      </c>
      <c r="V33" s="284">
        <f t="shared" si="1"/>
        <v>2.8875000000000002</v>
      </c>
      <c r="W33" s="279"/>
      <c r="X33" s="279"/>
      <c r="Y33" s="287">
        <f t="shared" si="4"/>
        <v>60</v>
      </c>
      <c r="Z33" s="287">
        <v>960</v>
      </c>
      <c r="AA33" s="288">
        <v>33000</v>
      </c>
      <c r="AB33" s="261">
        <f t="shared" si="2"/>
        <v>0.75757575757575757</v>
      </c>
      <c r="AC33" s="261">
        <f t="shared" si="3"/>
        <v>12.121212121212121</v>
      </c>
      <c r="AD33" s="297"/>
      <c r="AE33" s="290" t="s">
        <v>290</v>
      </c>
      <c r="AF33" s="291">
        <v>7</v>
      </c>
      <c r="AG33" s="292" t="s">
        <v>1038</v>
      </c>
      <c r="AH33" s="293" t="s">
        <v>982</v>
      </c>
    </row>
    <row r="34" spans="1:41" s="107" customFormat="1">
      <c r="A34" s="242" t="s">
        <v>853</v>
      </c>
      <c r="B34" s="282" t="s">
        <v>309</v>
      </c>
      <c r="C34" s="106" t="s">
        <v>879</v>
      </c>
      <c r="D34" s="490" t="s">
        <v>1094</v>
      </c>
      <c r="E34" s="491" t="s">
        <v>1094</v>
      </c>
      <c r="F34" s="490" t="s">
        <v>883</v>
      </c>
      <c r="G34" s="411" t="s">
        <v>1094</v>
      </c>
      <c r="H34" s="411" t="s">
        <v>1094</v>
      </c>
      <c r="I34" s="490" t="s">
        <v>883</v>
      </c>
      <c r="J34" s="490" t="s">
        <v>883</v>
      </c>
      <c r="K34" s="416">
        <f t="shared" si="0"/>
        <v>4.4117647058823531E-4</v>
      </c>
      <c r="L34" s="401" t="s">
        <v>1094</v>
      </c>
      <c r="M34" s="401" t="s">
        <v>1094</v>
      </c>
      <c r="N34" s="401" t="s">
        <v>1094</v>
      </c>
      <c r="O34" s="401" t="s">
        <v>1094</v>
      </c>
      <c r="P34" s="401" t="s">
        <v>1094</v>
      </c>
      <c r="Q34" s="401" t="s">
        <v>1094</v>
      </c>
      <c r="R34" s="401" t="s">
        <v>1094</v>
      </c>
      <c r="S34" s="401" t="s">
        <v>1094</v>
      </c>
      <c r="T34" s="401" t="s">
        <v>1094</v>
      </c>
      <c r="U34" s="401" t="s">
        <v>1094</v>
      </c>
      <c r="V34" s="284">
        <f t="shared" si="1"/>
        <v>5.6051470588235288</v>
      </c>
      <c r="W34" s="285"/>
      <c r="X34" s="286"/>
      <c r="Y34" s="287">
        <f t="shared" si="4"/>
        <v>7.5</v>
      </c>
      <c r="Z34" s="287">
        <v>120</v>
      </c>
      <c r="AA34" s="288">
        <v>17000</v>
      </c>
      <c r="AB34" s="261">
        <f t="shared" si="2"/>
        <v>0.39026629935720847</v>
      </c>
      <c r="AC34" s="261">
        <f t="shared" si="3"/>
        <v>6.2442607897153355</v>
      </c>
      <c r="AD34" s="289"/>
      <c r="AE34" s="290" t="s">
        <v>863</v>
      </c>
      <c r="AF34" s="291">
        <v>4</v>
      </c>
      <c r="AG34" s="298" t="s">
        <v>1037</v>
      </c>
      <c r="AH34" s="293" t="s">
        <v>957</v>
      </c>
      <c r="AL34" s="219"/>
    </row>
    <row r="35" spans="1:41" s="107" customFormat="1">
      <c r="A35" s="242" t="s">
        <v>853</v>
      </c>
      <c r="B35" s="282" t="s">
        <v>310</v>
      </c>
      <c r="C35" s="106" t="s">
        <v>801</v>
      </c>
      <c r="D35" s="490" t="s">
        <v>883</v>
      </c>
      <c r="E35" s="491" t="s">
        <v>1094</v>
      </c>
      <c r="F35" s="490" t="s">
        <v>883</v>
      </c>
      <c r="G35" s="490" t="s">
        <v>883</v>
      </c>
      <c r="H35" s="490" t="s">
        <v>883</v>
      </c>
      <c r="I35" s="490" t="s">
        <v>883</v>
      </c>
      <c r="J35" s="411" t="s">
        <v>1094</v>
      </c>
      <c r="K35" s="416">
        <f t="shared" si="0"/>
        <v>1.5909090909090907E-2</v>
      </c>
      <c r="L35" s="490" t="s">
        <v>883</v>
      </c>
      <c r="M35" s="401" t="s">
        <v>1094</v>
      </c>
      <c r="N35" s="401" t="s">
        <v>1094</v>
      </c>
      <c r="O35" s="401" t="s">
        <v>1094</v>
      </c>
      <c r="P35" s="401" t="s">
        <v>1094</v>
      </c>
      <c r="Q35" s="401" t="s">
        <v>1094</v>
      </c>
      <c r="R35" s="401" t="s">
        <v>1094</v>
      </c>
      <c r="S35" s="401" t="s">
        <v>1094</v>
      </c>
      <c r="T35" s="490" t="s">
        <v>883</v>
      </c>
      <c r="U35" s="490" t="s">
        <v>883</v>
      </c>
      <c r="V35" s="284">
        <f t="shared" si="1"/>
        <v>21.65625</v>
      </c>
      <c r="W35" s="285"/>
      <c r="X35" s="286"/>
      <c r="Y35" s="287">
        <f t="shared" si="4"/>
        <v>70</v>
      </c>
      <c r="Z35" s="287">
        <v>1120</v>
      </c>
      <c r="AA35" s="288">
        <v>4400</v>
      </c>
      <c r="AB35" s="261">
        <f t="shared" si="2"/>
        <v>0.10101010101010101</v>
      </c>
      <c r="AC35" s="261">
        <f t="shared" si="3"/>
        <v>1.6161616161616161</v>
      </c>
      <c r="AD35" s="289"/>
      <c r="AE35" s="290" t="s">
        <v>525</v>
      </c>
      <c r="AF35" s="291">
        <v>8</v>
      </c>
      <c r="AG35" s="292" t="s">
        <v>1034</v>
      </c>
      <c r="AH35" s="293" t="s">
        <v>962</v>
      </c>
    </row>
    <row r="36" spans="1:41" s="107" customFormat="1">
      <c r="A36" s="242" t="s">
        <v>853</v>
      </c>
      <c r="B36" s="282" t="s">
        <v>311</v>
      </c>
      <c r="C36" s="106" t="s">
        <v>881</v>
      </c>
      <c r="D36" s="491" t="s">
        <v>1094</v>
      </c>
      <c r="E36" s="490" t="s">
        <v>1094</v>
      </c>
      <c r="F36" s="490" t="s">
        <v>883</v>
      </c>
      <c r="G36" s="411" t="s">
        <v>1094</v>
      </c>
      <c r="H36" s="411" t="s">
        <v>1094</v>
      </c>
      <c r="I36" s="490" t="s">
        <v>883</v>
      </c>
      <c r="J36" s="490" t="s">
        <v>883</v>
      </c>
      <c r="K36" s="416">
        <f t="shared" si="0"/>
        <v>2.1634615384615386E-3</v>
      </c>
      <c r="L36" s="401" t="s">
        <v>1094</v>
      </c>
      <c r="M36" s="401" t="s">
        <v>1094</v>
      </c>
      <c r="N36" s="401" t="s">
        <v>1094</v>
      </c>
      <c r="O36" s="401" t="s">
        <v>1094</v>
      </c>
      <c r="P36" s="401" t="s">
        <v>1094</v>
      </c>
      <c r="Q36" s="401" t="s">
        <v>1094</v>
      </c>
      <c r="R36" s="401" t="s">
        <v>1094</v>
      </c>
      <c r="S36" s="401" t="s">
        <v>1094</v>
      </c>
      <c r="T36" s="401" t="s">
        <v>1094</v>
      </c>
      <c r="U36" s="401" t="s">
        <v>1094</v>
      </c>
      <c r="V36" s="284">
        <f t="shared" ref="V36:V67" si="5">35/AC36</f>
        <v>3.6649038461538463</v>
      </c>
      <c r="W36" s="285"/>
      <c r="X36" s="286"/>
      <c r="Y36" s="287">
        <f t="shared" si="4"/>
        <v>56.25</v>
      </c>
      <c r="Z36" s="287">
        <v>900</v>
      </c>
      <c r="AA36" s="288">
        <v>26000</v>
      </c>
      <c r="AB36" s="261">
        <f t="shared" si="2"/>
        <v>0.59687786960514233</v>
      </c>
      <c r="AC36" s="261">
        <f t="shared" si="3"/>
        <v>9.5500459136822773</v>
      </c>
      <c r="AD36" s="289"/>
      <c r="AE36" s="290" t="s">
        <v>863</v>
      </c>
      <c r="AF36" s="291">
        <v>7</v>
      </c>
      <c r="AG36" s="292" t="s">
        <v>1034</v>
      </c>
      <c r="AH36" s="293" t="s">
        <v>949</v>
      </c>
    </row>
    <row r="37" spans="1:41" s="107" customFormat="1">
      <c r="A37" s="242" t="s">
        <v>853</v>
      </c>
      <c r="B37" s="282" t="s">
        <v>312</v>
      </c>
      <c r="C37" s="121" t="s">
        <v>689</v>
      </c>
      <c r="D37" s="490" t="s">
        <v>883</v>
      </c>
      <c r="E37" s="490" t="s">
        <v>883</v>
      </c>
      <c r="F37" s="490" t="s">
        <v>1094</v>
      </c>
      <c r="G37" s="411" t="s">
        <v>1094</v>
      </c>
      <c r="H37" s="411" t="s">
        <v>1094</v>
      </c>
      <c r="I37" s="411" t="s">
        <v>1094</v>
      </c>
      <c r="J37" s="490" t="s">
        <v>1094</v>
      </c>
      <c r="K37" s="416">
        <f t="shared" si="0"/>
        <v>1.875E-4</v>
      </c>
      <c r="L37" s="401" t="s">
        <v>1094</v>
      </c>
      <c r="M37" s="401" t="s">
        <v>1094</v>
      </c>
      <c r="N37" s="401" t="s">
        <v>1094</v>
      </c>
      <c r="O37" s="401" t="s">
        <v>1094</v>
      </c>
      <c r="P37" s="401" t="s">
        <v>1094</v>
      </c>
      <c r="Q37" s="490" t="s">
        <v>883</v>
      </c>
      <c r="R37" s="401" t="s">
        <v>1094</v>
      </c>
      <c r="S37" s="401" t="s">
        <v>1094</v>
      </c>
      <c r="T37" s="490" t="s">
        <v>883</v>
      </c>
      <c r="U37" s="490" t="s">
        <v>883</v>
      </c>
      <c r="V37" s="284">
        <f t="shared" si="5"/>
        <v>0.23821875000000001</v>
      </c>
      <c r="W37" s="285"/>
      <c r="X37" s="286"/>
      <c r="Y37" s="287">
        <f t="shared" si="4"/>
        <v>75</v>
      </c>
      <c r="Z37" s="287">
        <v>1200</v>
      </c>
      <c r="AA37" s="288">
        <v>400000</v>
      </c>
      <c r="AB37" s="261">
        <f t="shared" si="2"/>
        <v>9.1827364554637274</v>
      </c>
      <c r="AC37" s="261">
        <f t="shared" si="3"/>
        <v>146.92378328741964</v>
      </c>
      <c r="AD37" s="289"/>
      <c r="AE37" s="290" t="s">
        <v>294</v>
      </c>
      <c r="AF37" s="291">
        <v>5</v>
      </c>
      <c r="AG37" s="292" t="s">
        <v>1034</v>
      </c>
      <c r="AH37" s="293" t="s">
        <v>1236</v>
      </c>
    </row>
    <row r="38" spans="1:41" s="107" customFormat="1">
      <c r="A38" s="242" t="s">
        <v>853</v>
      </c>
      <c r="B38" s="282" t="s">
        <v>313</v>
      </c>
      <c r="C38" s="121" t="s">
        <v>717</v>
      </c>
      <c r="D38" s="490" t="s">
        <v>1094</v>
      </c>
      <c r="E38" s="490" t="s">
        <v>1094</v>
      </c>
      <c r="F38" s="490" t="s">
        <v>883</v>
      </c>
      <c r="G38" s="411" t="s">
        <v>1094</v>
      </c>
      <c r="H38" s="490" t="s">
        <v>883</v>
      </c>
      <c r="I38" s="490" t="s">
        <v>883</v>
      </c>
      <c r="J38" s="490" t="s">
        <v>883</v>
      </c>
      <c r="K38" s="416">
        <f t="shared" si="0"/>
        <v>3.6923076923076922E-3</v>
      </c>
      <c r="L38" s="490" t="s">
        <v>883</v>
      </c>
      <c r="M38" s="401" t="s">
        <v>1094</v>
      </c>
      <c r="N38" s="401" t="s">
        <v>1094</v>
      </c>
      <c r="O38" s="401" t="s">
        <v>1094</v>
      </c>
      <c r="P38" s="401" t="s">
        <v>1094</v>
      </c>
      <c r="Q38" s="401" t="s">
        <v>1094</v>
      </c>
      <c r="R38" s="401" t="s">
        <v>1094</v>
      </c>
      <c r="S38" s="401" t="s">
        <v>1094</v>
      </c>
      <c r="T38" s="401" t="s">
        <v>1094</v>
      </c>
      <c r="U38" s="401" t="s">
        <v>1094</v>
      </c>
      <c r="V38" s="284">
        <f t="shared" si="5"/>
        <v>14.659615384615385</v>
      </c>
      <c r="W38" s="285"/>
      <c r="X38" s="286"/>
      <c r="Y38" s="287">
        <f t="shared" si="4"/>
        <v>24</v>
      </c>
      <c r="Z38" s="287">
        <v>384</v>
      </c>
      <c r="AA38" s="288">
        <v>6500</v>
      </c>
      <c r="AB38" s="261">
        <f t="shared" si="2"/>
        <v>0.14921946740128558</v>
      </c>
      <c r="AC38" s="261">
        <f t="shared" si="3"/>
        <v>2.3875114784205693</v>
      </c>
      <c r="AD38" s="289"/>
      <c r="AE38" s="290" t="s">
        <v>294</v>
      </c>
      <c r="AF38" s="291">
        <v>1</v>
      </c>
      <c r="AG38" s="292" t="s">
        <v>1036</v>
      </c>
      <c r="AH38" s="293" t="s">
        <v>960</v>
      </c>
    </row>
    <row r="39" spans="1:41" s="107" customFormat="1">
      <c r="A39" s="242" t="s">
        <v>853</v>
      </c>
      <c r="B39" s="282" t="s">
        <v>593</v>
      </c>
      <c r="C39" s="106" t="s">
        <v>592</v>
      </c>
      <c r="D39" s="491" t="s">
        <v>1094</v>
      </c>
      <c r="E39" s="491" t="s">
        <v>1094</v>
      </c>
      <c r="F39" s="490" t="s">
        <v>883</v>
      </c>
      <c r="G39" s="411" t="s">
        <v>1094</v>
      </c>
      <c r="H39" s="490" t="s">
        <v>1094</v>
      </c>
      <c r="I39" s="490" t="s">
        <v>883</v>
      </c>
      <c r="J39" s="490" t="s">
        <v>883</v>
      </c>
      <c r="K39" s="416">
        <f t="shared" si="0"/>
        <v>0.22221354166666665</v>
      </c>
      <c r="L39" s="490" t="s">
        <v>883</v>
      </c>
      <c r="M39" s="401" t="s">
        <v>1094</v>
      </c>
      <c r="N39" s="401" t="s">
        <v>1094</v>
      </c>
      <c r="O39" s="490" t="s">
        <v>883</v>
      </c>
      <c r="P39" s="401" t="s">
        <v>1094</v>
      </c>
      <c r="Q39" s="490" t="s">
        <v>883</v>
      </c>
      <c r="R39" s="490" t="s">
        <v>883</v>
      </c>
      <c r="S39" s="401" t="s">
        <v>1094</v>
      </c>
      <c r="T39" s="490" t="s">
        <v>883</v>
      </c>
      <c r="U39" s="490" t="s">
        <v>883</v>
      </c>
      <c r="V39" s="284">
        <f t="shared" si="5"/>
        <v>39.703125</v>
      </c>
      <c r="W39" s="285"/>
      <c r="X39" s="286"/>
      <c r="Y39" s="287">
        <f t="shared" si="4"/>
        <v>533.3125</v>
      </c>
      <c r="Z39" s="287">
        <v>8533</v>
      </c>
      <c r="AA39" s="288">
        <v>2400</v>
      </c>
      <c r="AB39" s="261">
        <f t="shared" si="2"/>
        <v>5.5096418732782371E-2</v>
      </c>
      <c r="AC39" s="261">
        <f t="shared" si="3"/>
        <v>0.88154269972451793</v>
      </c>
      <c r="AD39" s="289"/>
      <c r="AE39" s="290" t="s">
        <v>292</v>
      </c>
      <c r="AF39" s="291">
        <v>4</v>
      </c>
      <c r="AG39" s="292" t="s">
        <v>1034</v>
      </c>
      <c r="AH39" s="377" t="s">
        <v>946</v>
      </c>
      <c r="AI39" s="219"/>
      <c r="AK39" s="219"/>
      <c r="AM39" s="219"/>
      <c r="AN39" s="219"/>
      <c r="AO39" s="219"/>
    </row>
    <row r="40" spans="1:41" s="209" customFormat="1">
      <c r="A40" s="242" t="s">
        <v>853</v>
      </c>
      <c r="B40" s="282" t="s">
        <v>314</v>
      </c>
      <c r="C40" s="108" t="s">
        <v>256</v>
      </c>
      <c r="D40" s="499" t="s">
        <v>1094</v>
      </c>
      <c r="E40" s="495" t="s">
        <v>1094</v>
      </c>
      <c r="F40" s="494" t="s">
        <v>883</v>
      </c>
      <c r="G40" s="415" t="s">
        <v>1094</v>
      </c>
      <c r="H40" s="415" t="s">
        <v>1094</v>
      </c>
      <c r="I40" s="490" t="s">
        <v>883</v>
      </c>
      <c r="J40" s="490" t="s">
        <v>883</v>
      </c>
      <c r="K40" s="416">
        <f t="shared" si="0"/>
        <v>7.5000000000000002E-4</v>
      </c>
      <c r="L40" s="490" t="s">
        <v>883</v>
      </c>
      <c r="M40" s="401" t="s">
        <v>1094</v>
      </c>
      <c r="N40" s="401" t="s">
        <v>1094</v>
      </c>
      <c r="O40" s="401" t="s">
        <v>1094</v>
      </c>
      <c r="P40" s="401" t="s">
        <v>1094</v>
      </c>
      <c r="Q40" s="490" t="s">
        <v>883</v>
      </c>
      <c r="R40" s="401" t="s">
        <v>1094</v>
      </c>
      <c r="S40" s="401" t="s">
        <v>1094</v>
      </c>
      <c r="T40" s="401" t="s">
        <v>1094</v>
      </c>
      <c r="U40" s="490" t="s">
        <v>883</v>
      </c>
      <c r="V40" s="284">
        <f t="shared" si="5"/>
        <v>1.1910937500000001</v>
      </c>
      <c r="W40" s="285"/>
      <c r="X40" s="286"/>
      <c r="Y40" s="287">
        <f t="shared" si="4"/>
        <v>60</v>
      </c>
      <c r="Z40" s="287">
        <v>960</v>
      </c>
      <c r="AA40" s="288">
        <v>80000</v>
      </c>
      <c r="AB40" s="261">
        <f t="shared" si="2"/>
        <v>1.8365472910927456</v>
      </c>
      <c r="AC40" s="261">
        <f t="shared" si="3"/>
        <v>29.38475665748393</v>
      </c>
      <c r="AD40" s="289"/>
      <c r="AE40" s="290" t="s">
        <v>294</v>
      </c>
      <c r="AF40" s="291">
        <v>10</v>
      </c>
      <c r="AG40" s="292" t="s">
        <v>1034</v>
      </c>
      <c r="AH40" s="293" t="s">
        <v>1236</v>
      </c>
      <c r="AI40" s="107"/>
      <c r="AJ40" s="107"/>
      <c r="AK40" s="107"/>
      <c r="AL40" s="107"/>
      <c r="AM40" s="107"/>
      <c r="AN40" s="107"/>
      <c r="AO40" s="107"/>
    </row>
    <row r="41" spans="1:41" s="222" customFormat="1">
      <c r="A41" s="242" t="s">
        <v>853</v>
      </c>
      <c r="B41" s="282" t="s">
        <v>315</v>
      </c>
      <c r="C41" s="108" t="s">
        <v>230</v>
      </c>
      <c r="D41" s="497" t="s">
        <v>1094</v>
      </c>
      <c r="E41" s="490" t="s">
        <v>883</v>
      </c>
      <c r="F41" s="490" t="s">
        <v>883</v>
      </c>
      <c r="G41" s="411" t="s">
        <v>1094</v>
      </c>
      <c r="H41" s="411" t="s">
        <v>1094</v>
      </c>
      <c r="I41" s="490" t="s">
        <v>883</v>
      </c>
      <c r="J41" s="490" t="s">
        <v>883</v>
      </c>
      <c r="K41" s="416">
        <f t="shared" si="0"/>
        <v>1.171875E-3</v>
      </c>
      <c r="L41" s="490" t="s">
        <v>883</v>
      </c>
      <c r="M41" s="490" t="s">
        <v>883</v>
      </c>
      <c r="N41" s="490" t="s">
        <v>883</v>
      </c>
      <c r="O41" s="490" t="s">
        <v>883</v>
      </c>
      <c r="P41" s="490" t="s">
        <v>883</v>
      </c>
      <c r="Q41" s="490" t="s">
        <v>883</v>
      </c>
      <c r="R41" s="490" t="s">
        <v>883</v>
      </c>
      <c r="S41" s="490" t="s">
        <v>883</v>
      </c>
      <c r="T41" s="417" t="s">
        <v>1094</v>
      </c>
      <c r="U41" s="490" t="s">
        <v>883</v>
      </c>
      <c r="V41" s="284">
        <f t="shared" si="5"/>
        <v>7.9406249999999998</v>
      </c>
      <c r="W41" s="285"/>
      <c r="X41" s="286"/>
      <c r="Y41" s="287">
        <f t="shared" si="4"/>
        <v>14.0625</v>
      </c>
      <c r="Z41" s="287">
        <v>225</v>
      </c>
      <c r="AA41" s="288">
        <v>12000</v>
      </c>
      <c r="AB41" s="261">
        <f t="shared" si="2"/>
        <v>0.27548209366391185</v>
      </c>
      <c r="AC41" s="261">
        <f t="shared" si="3"/>
        <v>4.4077134986225897</v>
      </c>
      <c r="AD41" s="289"/>
      <c r="AE41" s="290" t="s">
        <v>292</v>
      </c>
      <c r="AF41" s="291">
        <v>6</v>
      </c>
      <c r="AG41" s="292" t="s">
        <v>1034</v>
      </c>
      <c r="AH41" s="293" t="s">
        <v>963</v>
      </c>
      <c r="AI41" s="209"/>
      <c r="AJ41" s="209"/>
      <c r="AK41" s="209"/>
      <c r="AL41" s="209"/>
      <c r="AM41" s="209"/>
      <c r="AN41" s="209"/>
      <c r="AO41" s="209"/>
    </row>
    <row r="42" spans="1:41" s="107" customFormat="1">
      <c r="A42" s="242" t="s">
        <v>853</v>
      </c>
      <c r="B42" s="282" t="s">
        <v>316</v>
      </c>
      <c r="C42" s="121" t="s">
        <v>741</v>
      </c>
      <c r="D42" s="490" t="s">
        <v>883</v>
      </c>
      <c r="E42" s="490" t="s">
        <v>883</v>
      </c>
      <c r="F42" s="490" t="s">
        <v>1094</v>
      </c>
      <c r="G42" s="411" t="s">
        <v>883</v>
      </c>
      <c r="H42" s="411" t="s">
        <v>883</v>
      </c>
      <c r="I42" s="411" t="s">
        <v>1094</v>
      </c>
      <c r="J42" s="490" t="s">
        <v>883</v>
      </c>
      <c r="K42" s="416">
        <f t="shared" si="0"/>
        <v>1.125E-2</v>
      </c>
      <c r="L42" s="401" t="s">
        <v>1094</v>
      </c>
      <c r="M42" s="401" t="s">
        <v>1094</v>
      </c>
      <c r="N42" s="401" t="s">
        <v>1094</v>
      </c>
      <c r="O42" s="401" t="s">
        <v>1094</v>
      </c>
      <c r="P42" s="401" t="s">
        <v>1094</v>
      </c>
      <c r="Q42" s="401" t="s">
        <v>1094</v>
      </c>
      <c r="R42" s="401" t="s">
        <v>1094</v>
      </c>
      <c r="S42" s="401" t="s">
        <v>1094</v>
      </c>
      <c r="T42" s="401" t="s">
        <v>1094</v>
      </c>
      <c r="U42" s="401" t="s">
        <v>1094</v>
      </c>
      <c r="V42" s="284">
        <f t="shared" si="5"/>
        <v>11.910937500000001</v>
      </c>
      <c r="W42" s="285"/>
      <c r="X42" s="286"/>
      <c r="Y42" s="287">
        <v>90</v>
      </c>
      <c r="Z42" s="287">
        <v>1440</v>
      </c>
      <c r="AA42" s="288">
        <v>8000</v>
      </c>
      <c r="AB42" s="261">
        <f t="shared" si="2"/>
        <v>0.18365472910927455</v>
      </c>
      <c r="AC42" s="261">
        <f t="shared" si="3"/>
        <v>2.9384756657483928</v>
      </c>
      <c r="AD42" s="289"/>
      <c r="AE42" s="290" t="s">
        <v>294</v>
      </c>
      <c r="AF42" s="291">
        <v>4</v>
      </c>
      <c r="AG42" s="292" t="s">
        <v>1034</v>
      </c>
      <c r="AH42" s="293" t="s">
        <v>946</v>
      </c>
    </row>
    <row r="43" spans="1:41" s="219" customFormat="1">
      <c r="A43" s="242" t="s">
        <v>853</v>
      </c>
      <c r="B43" s="282" t="s">
        <v>317</v>
      </c>
      <c r="C43" s="122" t="s">
        <v>515</v>
      </c>
      <c r="D43" s="496" t="s">
        <v>1094</v>
      </c>
      <c r="E43" s="490" t="s">
        <v>1094</v>
      </c>
      <c r="F43" s="490" t="s">
        <v>883</v>
      </c>
      <c r="G43" s="490" t="s">
        <v>883</v>
      </c>
      <c r="H43" s="411" t="s">
        <v>1094</v>
      </c>
      <c r="I43" s="490" t="s">
        <v>883</v>
      </c>
      <c r="J43" s="411" t="s">
        <v>1094</v>
      </c>
      <c r="K43" s="416">
        <f t="shared" si="0"/>
        <v>2.6785714285714287E-4</v>
      </c>
      <c r="L43" s="490" t="s">
        <v>883</v>
      </c>
      <c r="M43" s="401" t="s">
        <v>1094</v>
      </c>
      <c r="N43" s="401" t="s">
        <v>1094</v>
      </c>
      <c r="O43" s="401" t="s">
        <v>1094</v>
      </c>
      <c r="P43" s="401" t="s">
        <v>1094</v>
      </c>
      <c r="Q43" s="490" t="s">
        <v>883</v>
      </c>
      <c r="R43" s="401" t="s">
        <v>1094</v>
      </c>
      <c r="S43" s="401" t="s">
        <v>1094</v>
      </c>
      <c r="T43" s="401" t="s">
        <v>1094</v>
      </c>
      <c r="U43" s="490" t="s">
        <v>883</v>
      </c>
      <c r="V43" s="284">
        <f t="shared" si="5"/>
        <v>0.68062500000000004</v>
      </c>
      <c r="W43" s="285"/>
      <c r="X43" s="286"/>
      <c r="Y43" s="287">
        <f t="shared" ref="Y43:Y51" si="6">SUM(Z43/16)</f>
        <v>37.5</v>
      </c>
      <c r="Z43" s="287">
        <v>600</v>
      </c>
      <c r="AA43" s="288">
        <v>140000</v>
      </c>
      <c r="AB43" s="261">
        <f t="shared" si="2"/>
        <v>3.2139577594123048</v>
      </c>
      <c r="AC43" s="261">
        <f t="shared" si="3"/>
        <v>51.423324150596876</v>
      </c>
      <c r="AD43" s="289"/>
      <c r="AE43" s="290" t="s">
        <v>293</v>
      </c>
      <c r="AF43" s="291">
        <v>7</v>
      </c>
      <c r="AG43" s="292" t="s">
        <v>1034</v>
      </c>
      <c r="AH43" s="293" t="s">
        <v>946</v>
      </c>
      <c r="AI43" s="107"/>
      <c r="AJ43" s="107"/>
      <c r="AK43" s="107"/>
      <c r="AL43" s="107"/>
      <c r="AM43" s="107"/>
      <c r="AN43" s="107"/>
      <c r="AO43" s="107"/>
    </row>
    <row r="44" spans="1:41" s="107" customFormat="1">
      <c r="A44" s="242" t="s">
        <v>853</v>
      </c>
      <c r="B44" s="282" t="s">
        <v>318</v>
      </c>
      <c r="C44" s="121" t="s">
        <v>758</v>
      </c>
      <c r="D44" s="490" t="s">
        <v>883</v>
      </c>
      <c r="E44" s="490" t="s">
        <v>883</v>
      </c>
      <c r="F44" s="490" t="s">
        <v>1094</v>
      </c>
      <c r="G44" s="411" t="s">
        <v>883</v>
      </c>
      <c r="H44" s="490" t="s">
        <v>883</v>
      </c>
      <c r="I44" s="411" t="s">
        <v>1094</v>
      </c>
      <c r="J44" s="490" t="s">
        <v>883</v>
      </c>
      <c r="K44" s="416">
        <f t="shared" si="0"/>
        <v>7.4999999999999997E-3</v>
      </c>
      <c r="L44" s="401" t="s">
        <v>1094</v>
      </c>
      <c r="M44" s="401" t="s">
        <v>1094</v>
      </c>
      <c r="N44" s="401" t="s">
        <v>1094</v>
      </c>
      <c r="O44" s="401" t="s">
        <v>1094</v>
      </c>
      <c r="P44" s="401" t="s">
        <v>1094</v>
      </c>
      <c r="Q44" s="401" t="s">
        <v>1094</v>
      </c>
      <c r="R44" s="401" t="s">
        <v>1094</v>
      </c>
      <c r="S44" s="401" t="s">
        <v>1094</v>
      </c>
      <c r="T44" s="401" t="s">
        <v>1094</v>
      </c>
      <c r="U44" s="401" t="s">
        <v>1094</v>
      </c>
      <c r="V44" s="284">
        <f t="shared" si="5"/>
        <v>190.57500000000002</v>
      </c>
      <c r="W44" s="285"/>
      <c r="X44" s="286"/>
      <c r="Y44" s="287">
        <f t="shared" si="6"/>
        <v>3.75</v>
      </c>
      <c r="Z44" s="287">
        <v>60</v>
      </c>
      <c r="AA44" s="288">
        <v>500</v>
      </c>
      <c r="AB44" s="261">
        <f t="shared" si="2"/>
        <v>1.1478420569329659E-2</v>
      </c>
      <c r="AC44" s="261">
        <f t="shared" si="3"/>
        <v>0.18365472910927455</v>
      </c>
      <c r="AD44" s="289"/>
      <c r="AE44" s="290" t="s">
        <v>863</v>
      </c>
      <c r="AF44" s="291">
        <v>6</v>
      </c>
      <c r="AG44" s="292" t="s">
        <v>1034</v>
      </c>
      <c r="AH44" s="293" t="s">
        <v>961</v>
      </c>
    </row>
    <row r="45" spans="1:41" s="209" customFormat="1">
      <c r="A45" s="242" t="s">
        <v>853</v>
      </c>
      <c r="B45" s="282" t="s">
        <v>319</v>
      </c>
      <c r="C45" s="108" t="s">
        <v>226</v>
      </c>
      <c r="D45" s="497" t="s">
        <v>1094</v>
      </c>
      <c r="E45" s="497" t="s">
        <v>1094</v>
      </c>
      <c r="F45" s="490" t="s">
        <v>883</v>
      </c>
      <c r="G45" s="411" t="s">
        <v>1094</v>
      </c>
      <c r="H45" s="411" t="s">
        <v>1094</v>
      </c>
      <c r="I45" s="490" t="s">
        <v>883</v>
      </c>
      <c r="J45" s="490" t="s">
        <v>883</v>
      </c>
      <c r="K45" s="416">
        <f t="shared" si="0"/>
        <v>3.1250000000000001E-5</v>
      </c>
      <c r="L45" s="490" t="s">
        <v>883</v>
      </c>
      <c r="M45" s="401" t="s">
        <v>1094</v>
      </c>
      <c r="N45" s="401" t="s">
        <v>1094</v>
      </c>
      <c r="O45" s="401" t="s">
        <v>1094</v>
      </c>
      <c r="P45" s="401" t="s">
        <v>1094</v>
      </c>
      <c r="Q45" s="490" t="s">
        <v>883</v>
      </c>
      <c r="R45" s="401" t="s">
        <v>1094</v>
      </c>
      <c r="S45" s="401" t="s">
        <v>1094</v>
      </c>
      <c r="T45" s="490" t="s">
        <v>883</v>
      </c>
      <c r="U45" s="490" t="s">
        <v>883</v>
      </c>
      <c r="V45" s="284">
        <f t="shared" si="5"/>
        <v>1.0587500000000001</v>
      </c>
      <c r="W45" s="285"/>
      <c r="X45" s="286"/>
      <c r="Y45" s="287">
        <f t="shared" si="6"/>
        <v>2.8125</v>
      </c>
      <c r="Z45" s="287">
        <v>45</v>
      </c>
      <c r="AA45" s="288">
        <v>90000</v>
      </c>
      <c r="AB45" s="261">
        <f t="shared" si="2"/>
        <v>2.0661157024793386</v>
      </c>
      <c r="AC45" s="261">
        <f t="shared" si="3"/>
        <v>33.057851239669418</v>
      </c>
      <c r="AD45" s="289"/>
      <c r="AE45" s="290" t="s">
        <v>294</v>
      </c>
      <c r="AF45" s="291">
        <v>0</v>
      </c>
      <c r="AG45" s="292" t="s">
        <v>1035</v>
      </c>
      <c r="AH45" s="293" t="s">
        <v>964</v>
      </c>
      <c r="AI45" s="219"/>
      <c r="AJ45" s="107"/>
      <c r="AK45" s="219"/>
      <c r="AL45" s="107"/>
      <c r="AM45" s="219"/>
      <c r="AN45" s="219"/>
      <c r="AO45" s="219"/>
    </row>
    <row r="46" spans="1:41" s="107" customFormat="1">
      <c r="A46" s="242" t="s">
        <v>853</v>
      </c>
      <c r="B46" s="281" t="s">
        <v>1302</v>
      </c>
      <c r="C46" s="121" t="s">
        <v>673</v>
      </c>
      <c r="D46" s="490" t="s">
        <v>1094</v>
      </c>
      <c r="E46" s="490" t="s">
        <v>1094</v>
      </c>
      <c r="F46" s="490" t="s">
        <v>1094</v>
      </c>
      <c r="G46" s="411" t="s">
        <v>1094</v>
      </c>
      <c r="H46" s="411" t="s">
        <v>1094</v>
      </c>
      <c r="I46" s="411" t="s">
        <v>1094</v>
      </c>
      <c r="J46" s="490" t="s">
        <v>1094</v>
      </c>
      <c r="K46" s="416">
        <f t="shared" si="0"/>
        <v>3.0000000000000001E-3</v>
      </c>
      <c r="L46" s="401" t="s">
        <v>1094</v>
      </c>
      <c r="M46" s="401" t="s">
        <v>1094</v>
      </c>
      <c r="N46" s="401" t="s">
        <v>1094</v>
      </c>
      <c r="O46" s="401" t="s">
        <v>1094</v>
      </c>
      <c r="P46" s="401" t="s">
        <v>1094</v>
      </c>
      <c r="Q46" s="401" t="s">
        <v>1094</v>
      </c>
      <c r="R46" s="401" t="s">
        <v>1094</v>
      </c>
      <c r="S46" s="401" t="s">
        <v>1094</v>
      </c>
      <c r="T46" s="401" t="s">
        <v>1094</v>
      </c>
      <c r="U46" s="401" t="s">
        <v>1094</v>
      </c>
      <c r="V46" s="284">
        <f t="shared" si="5"/>
        <v>1.1910937500000001</v>
      </c>
      <c r="W46" s="299"/>
      <c r="X46" s="299"/>
      <c r="Y46" s="287">
        <f t="shared" si="6"/>
        <v>240</v>
      </c>
      <c r="Z46" s="287">
        <v>3840</v>
      </c>
      <c r="AA46" s="288">
        <v>80000</v>
      </c>
      <c r="AB46" s="261">
        <f t="shared" si="2"/>
        <v>1.8365472910927456</v>
      </c>
      <c r="AC46" s="261">
        <f t="shared" si="3"/>
        <v>29.38475665748393</v>
      </c>
      <c r="AD46" s="282"/>
      <c r="AE46" s="290" t="s">
        <v>525</v>
      </c>
      <c r="AF46" s="291">
        <v>7</v>
      </c>
      <c r="AG46" s="292" t="s">
        <v>1034</v>
      </c>
      <c r="AH46" s="293" t="s">
        <v>958</v>
      </c>
    </row>
    <row r="47" spans="1:41" s="107" customFormat="1">
      <c r="A47" s="242" t="s">
        <v>853</v>
      </c>
      <c r="B47" s="282" t="s">
        <v>320</v>
      </c>
      <c r="C47" s="121" t="s">
        <v>825</v>
      </c>
      <c r="D47" s="494" t="s">
        <v>883</v>
      </c>
      <c r="E47" s="495" t="s">
        <v>1094</v>
      </c>
      <c r="F47" s="490" t="s">
        <v>1094</v>
      </c>
      <c r="G47" s="411" t="s">
        <v>1094</v>
      </c>
      <c r="H47" s="411" t="s">
        <v>1094</v>
      </c>
      <c r="I47" s="490" t="s">
        <v>1094</v>
      </c>
      <c r="J47" s="490" t="s">
        <v>883</v>
      </c>
      <c r="K47" s="416">
        <f t="shared" si="0"/>
        <v>1.278409090909091E-4</v>
      </c>
      <c r="L47" s="401" t="s">
        <v>1094</v>
      </c>
      <c r="M47" s="401" t="s">
        <v>1094</v>
      </c>
      <c r="N47" s="401" t="s">
        <v>1094</v>
      </c>
      <c r="O47" s="401" t="s">
        <v>1094</v>
      </c>
      <c r="P47" s="401" t="s">
        <v>1094</v>
      </c>
      <c r="Q47" s="401" t="s">
        <v>1094</v>
      </c>
      <c r="R47" s="401" t="s">
        <v>1094</v>
      </c>
      <c r="S47" s="401" t="s">
        <v>1094</v>
      </c>
      <c r="T47" s="401" t="s">
        <v>1094</v>
      </c>
      <c r="U47" s="401" t="s">
        <v>1094</v>
      </c>
      <c r="V47" s="284">
        <f t="shared" si="5"/>
        <v>0.43312500000000004</v>
      </c>
      <c r="W47" s="285"/>
      <c r="X47" s="286"/>
      <c r="Y47" s="287">
        <f t="shared" si="6"/>
        <v>28.125</v>
      </c>
      <c r="Z47" s="287">
        <v>450</v>
      </c>
      <c r="AA47" s="288">
        <v>220000</v>
      </c>
      <c r="AB47" s="261">
        <f t="shared" si="2"/>
        <v>5.0505050505050502</v>
      </c>
      <c r="AC47" s="261">
        <f t="shared" si="3"/>
        <v>80.808080808080803</v>
      </c>
      <c r="AD47" s="289"/>
      <c r="AE47" s="290" t="s">
        <v>294</v>
      </c>
      <c r="AF47" s="291">
        <v>4</v>
      </c>
      <c r="AG47" s="292" t="s">
        <v>1034</v>
      </c>
      <c r="AH47" s="293" t="s">
        <v>1240</v>
      </c>
      <c r="AI47" s="219"/>
      <c r="AK47" s="219"/>
      <c r="AM47" s="219"/>
      <c r="AN47" s="219"/>
      <c r="AO47" s="219"/>
    </row>
    <row r="48" spans="1:41" s="107" customFormat="1">
      <c r="A48" s="242" t="s">
        <v>853</v>
      </c>
      <c r="B48" s="282" t="s">
        <v>321</v>
      </c>
      <c r="C48" s="121" t="s">
        <v>768</v>
      </c>
      <c r="D48" s="495" t="s">
        <v>1094</v>
      </c>
      <c r="E48" s="490" t="s">
        <v>1094</v>
      </c>
      <c r="F48" s="490" t="s">
        <v>883</v>
      </c>
      <c r="G48" s="411" t="s">
        <v>1094</v>
      </c>
      <c r="H48" s="411" t="s">
        <v>1094</v>
      </c>
      <c r="I48" s="490" t="s">
        <v>883</v>
      </c>
      <c r="J48" s="490" t="s">
        <v>883</v>
      </c>
      <c r="K48" s="416">
        <f t="shared" si="0"/>
        <v>2.3437499999999999E-3</v>
      </c>
      <c r="L48" s="490" t="s">
        <v>883</v>
      </c>
      <c r="M48" s="401" t="s">
        <v>1094</v>
      </c>
      <c r="N48" s="401" t="s">
        <v>1094</v>
      </c>
      <c r="O48" s="490" t="s">
        <v>883</v>
      </c>
      <c r="P48" s="490" t="s">
        <v>883</v>
      </c>
      <c r="Q48" s="401" t="s">
        <v>1094</v>
      </c>
      <c r="R48" s="401" t="s">
        <v>1094</v>
      </c>
      <c r="S48" s="401" t="s">
        <v>1094</v>
      </c>
      <c r="T48" s="490" t="s">
        <v>1094</v>
      </c>
      <c r="U48" s="490" t="s">
        <v>883</v>
      </c>
      <c r="V48" s="284">
        <f t="shared" si="5"/>
        <v>11.910937500000001</v>
      </c>
      <c r="W48" s="285"/>
      <c r="X48" s="286"/>
      <c r="Y48" s="287">
        <f t="shared" si="6"/>
        <v>18.75</v>
      </c>
      <c r="Z48" s="287">
        <v>300</v>
      </c>
      <c r="AA48" s="288">
        <v>8000</v>
      </c>
      <c r="AB48" s="261">
        <f t="shared" si="2"/>
        <v>0.18365472910927455</v>
      </c>
      <c r="AC48" s="261">
        <f t="shared" si="3"/>
        <v>2.9384756657483928</v>
      </c>
      <c r="AD48" s="289"/>
      <c r="AE48" s="290" t="s">
        <v>292</v>
      </c>
      <c r="AF48" s="291">
        <v>4</v>
      </c>
      <c r="AG48" s="292" t="s">
        <v>1034</v>
      </c>
      <c r="AH48" s="293" t="s">
        <v>966</v>
      </c>
    </row>
    <row r="49" spans="1:41" s="219" customFormat="1">
      <c r="A49" s="242" t="s">
        <v>853</v>
      </c>
      <c r="B49" s="282" t="s">
        <v>322</v>
      </c>
      <c r="C49" s="108" t="s">
        <v>251</v>
      </c>
      <c r="D49" s="497" t="s">
        <v>1094</v>
      </c>
      <c r="E49" s="499" t="s">
        <v>1094</v>
      </c>
      <c r="F49" s="490" t="s">
        <v>883</v>
      </c>
      <c r="G49" s="411" t="s">
        <v>1094</v>
      </c>
      <c r="H49" s="411" t="s">
        <v>1094</v>
      </c>
      <c r="I49" s="490" t="s">
        <v>883</v>
      </c>
      <c r="J49" s="490" t="s">
        <v>883</v>
      </c>
      <c r="K49" s="416">
        <f t="shared" si="0"/>
        <v>1.171875E-2</v>
      </c>
      <c r="L49" s="401" t="s">
        <v>1094</v>
      </c>
      <c r="M49" s="401" t="s">
        <v>1094</v>
      </c>
      <c r="N49" s="401" t="s">
        <v>1094</v>
      </c>
      <c r="O49" s="401" t="s">
        <v>1094</v>
      </c>
      <c r="P49" s="401" t="s">
        <v>1094</v>
      </c>
      <c r="Q49" s="401" t="s">
        <v>1094</v>
      </c>
      <c r="R49" s="401" t="s">
        <v>1094</v>
      </c>
      <c r="S49" s="401" t="s">
        <v>1094</v>
      </c>
      <c r="T49" s="401" t="s">
        <v>1094</v>
      </c>
      <c r="U49" s="401" t="s">
        <v>1094</v>
      </c>
      <c r="V49" s="284">
        <f t="shared" si="5"/>
        <v>79.40625</v>
      </c>
      <c r="W49" s="285"/>
      <c r="X49" s="286"/>
      <c r="Y49" s="287">
        <f t="shared" si="6"/>
        <v>14.0625</v>
      </c>
      <c r="Z49" s="287">
        <v>225</v>
      </c>
      <c r="AA49" s="288">
        <v>1200</v>
      </c>
      <c r="AB49" s="261">
        <f t="shared" si="2"/>
        <v>2.7548209366391185E-2</v>
      </c>
      <c r="AC49" s="261">
        <f t="shared" si="3"/>
        <v>0.44077134986225897</v>
      </c>
      <c r="AD49" s="289"/>
      <c r="AE49" s="290" t="s">
        <v>294</v>
      </c>
      <c r="AF49" s="291">
        <v>7</v>
      </c>
      <c r="AG49" s="292" t="s">
        <v>1034</v>
      </c>
      <c r="AH49" s="293" t="s">
        <v>946</v>
      </c>
      <c r="AI49" s="107"/>
      <c r="AJ49" s="107"/>
      <c r="AK49" s="107"/>
      <c r="AL49" s="107"/>
      <c r="AM49" s="107"/>
      <c r="AN49" s="107"/>
      <c r="AO49" s="107"/>
    </row>
    <row r="50" spans="1:41" s="107" customFormat="1">
      <c r="A50" s="242" t="s">
        <v>853</v>
      </c>
      <c r="B50" s="282" t="s">
        <v>818</v>
      </c>
      <c r="C50" s="121" t="s">
        <v>650</v>
      </c>
      <c r="D50" s="490" t="s">
        <v>1094</v>
      </c>
      <c r="E50" s="490" t="s">
        <v>883</v>
      </c>
      <c r="F50" s="490" t="s">
        <v>883</v>
      </c>
      <c r="G50" s="411" t="s">
        <v>1094</v>
      </c>
      <c r="H50" s="490" t="s">
        <v>883</v>
      </c>
      <c r="I50" s="490" t="s">
        <v>883</v>
      </c>
      <c r="J50" s="490" t="s">
        <v>883</v>
      </c>
      <c r="K50" s="416">
        <f t="shared" si="0"/>
        <v>8.6956521739130438E-4</v>
      </c>
      <c r="L50" s="490" t="s">
        <v>883</v>
      </c>
      <c r="M50" s="401" t="s">
        <v>1094</v>
      </c>
      <c r="N50" s="401" t="s">
        <v>1094</v>
      </c>
      <c r="O50" s="490" t="s">
        <v>883</v>
      </c>
      <c r="P50" s="401" t="s">
        <v>1094</v>
      </c>
      <c r="Q50" s="490" t="s">
        <v>883</v>
      </c>
      <c r="R50" s="490" t="s">
        <v>883</v>
      </c>
      <c r="S50" s="401" t="s">
        <v>1094</v>
      </c>
      <c r="T50" s="490" t="s">
        <v>883</v>
      </c>
      <c r="U50" s="490" t="s">
        <v>883</v>
      </c>
      <c r="V50" s="284">
        <f t="shared" si="5"/>
        <v>4.1429347826086955</v>
      </c>
      <c r="W50" s="285"/>
      <c r="X50" s="286"/>
      <c r="Y50" s="287">
        <f t="shared" si="6"/>
        <v>20</v>
      </c>
      <c r="Z50" s="287">
        <v>320</v>
      </c>
      <c r="AA50" s="288">
        <v>23000</v>
      </c>
      <c r="AB50" s="261">
        <f t="shared" si="2"/>
        <v>0.52800734618916434</v>
      </c>
      <c r="AC50" s="261">
        <f t="shared" si="3"/>
        <v>8.4481175390266294</v>
      </c>
      <c r="AD50" s="289"/>
      <c r="AE50" s="290" t="s">
        <v>294</v>
      </c>
      <c r="AF50" s="291">
        <v>7</v>
      </c>
      <c r="AG50" s="292" t="s">
        <v>1036</v>
      </c>
      <c r="AH50" s="293" t="s">
        <v>946</v>
      </c>
    </row>
    <row r="51" spans="1:41" s="219" customFormat="1">
      <c r="A51" s="242" t="s">
        <v>853</v>
      </c>
      <c r="B51" s="282" t="s">
        <v>323</v>
      </c>
      <c r="C51" s="121" t="s">
        <v>597</v>
      </c>
      <c r="D51" s="490" t="s">
        <v>883</v>
      </c>
      <c r="E51" s="490" t="s">
        <v>1094</v>
      </c>
      <c r="F51" s="490" t="s">
        <v>1094</v>
      </c>
      <c r="G51" s="411" t="s">
        <v>1094</v>
      </c>
      <c r="H51" s="411" t="s">
        <v>1094</v>
      </c>
      <c r="I51" s="490" t="s">
        <v>883</v>
      </c>
      <c r="J51" s="411" t="s">
        <v>1094</v>
      </c>
      <c r="K51" s="416">
        <f t="shared" si="0"/>
        <v>1.0817307692307693E-3</v>
      </c>
      <c r="L51" s="490" t="s">
        <v>883</v>
      </c>
      <c r="M51" s="401" t="s">
        <v>1094</v>
      </c>
      <c r="N51" s="490" t="s">
        <v>883</v>
      </c>
      <c r="O51" s="401" t="s">
        <v>1094</v>
      </c>
      <c r="P51" s="490" t="s">
        <v>883</v>
      </c>
      <c r="Q51" s="401" t="s">
        <v>1094</v>
      </c>
      <c r="R51" s="401" t="s">
        <v>1094</v>
      </c>
      <c r="S51" s="490" t="s">
        <v>883</v>
      </c>
      <c r="T51" s="401" t="s">
        <v>1094</v>
      </c>
      <c r="U51" s="401" t="s">
        <v>1094</v>
      </c>
      <c r="V51" s="284">
        <f t="shared" si="5"/>
        <v>36.64903846153846</v>
      </c>
      <c r="W51" s="285"/>
      <c r="X51" s="286"/>
      <c r="Y51" s="287">
        <f t="shared" si="6"/>
        <v>2.8125</v>
      </c>
      <c r="Z51" s="287">
        <v>45</v>
      </c>
      <c r="AA51" s="288">
        <v>2600</v>
      </c>
      <c r="AB51" s="261">
        <f t="shared" si="2"/>
        <v>5.968778696051423E-2</v>
      </c>
      <c r="AC51" s="261">
        <f t="shared" si="3"/>
        <v>0.95500459136822768</v>
      </c>
      <c r="AD51" s="289"/>
      <c r="AE51" s="290" t="s">
        <v>863</v>
      </c>
      <c r="AF51" s="291">
        <v>4</v>
      </c>
      <c r="AG51" s="292" t="s">
        <v>1035</v>
      </c>
      <c r="AH51" s="293" t="s">
        <v>967</v>
      </c>
      <c r="AI51" s="107"/>
      <c r="AJ51" s="107"/>
      <c r="AK51" s="107"/>
      <c r="AL51" s="107"/>
      <c r="AM51" s="107"/>
      <c r="AN51" s="107"/>
      <c r="AO51" s="107"/>
    </row>
    <row r="52" spans="1:41" s="107" customFormat="1">
      <c r="A52" s="242" t="s">
        <v>853</v>
      </c>
      <c r="B52" s="282" t="s">
        <v>270</v>
      </c>
      <c r="C52" s="121" t="s">
        <v>706</v>
      </c>
      <c r="D52" s="490" t="s">
        <v>883</v>
      </c>
      <c r="E52" s="490" t="s">
        <v>883</v>
      </c>
      <c r="F52" s="490" t="s">
        <v>1094</v>
      </c>
      <c r="G52" s="411" t="s">
        <v>1094</v>
      </c>
      <c r="H52" s="411" t="s">
        <v>1094</v>
      </c>
      <c r="I52" s="411" t="s">
        <v>1094</v>
      </c>
      <c r="J52" s="490" t="s">
        <v>883</v>
      </c>
      <c r="K52" s="416">
        <f t="shared" si="0"/>
        <v>2.6712328767123289E-2</v>
      </c>
      <c r="L52" s="401" t="s">
        <v>1094</v>
      </c>
      <c r="M52" s="401" t="s">
        <v>1094</v>
      </c>
      <c r="N52" s="401" t="s">
        <v>1094</v>
      </c>
      <c r="O52" s="401" t="s">
        <v>1094</v>
      </c>
      <c r="P52" s="401" t="s">
        <v>1094</v>
      </c>
      <c r="Q52" s="401" t="s">
        <v>1094</v>
      </c>
      <c r="R52" s="401" t="s">
        <v>1094</v>
      </c>
      <c r="S52" s="401" t="s">
        <v>1094</v>
      </c>
      <c r="T52" s="401" t="s">
        <v>1094</v>
      </c>
      <c r="U52" s="401" t="s">
        <v>1094</v>
      </c>
      <c r="V52" s="284">
        <f t="shared" si="5"/>
        <v>6.5265410958904102</v>
      </c>
      <c r="W52" s="285"/>
      <c r="X52" s="286"/>
      <c r="Y52" s="287">
        <v>390</v>
      </c>
      <c r="Z52" s="287">
        <f>Y52*16</f>
        <v>6240</v>
      </c>
      <c r="AA52" s="288">
        <v>14600</v>
      </c>
      <c r="AB52" s="261">
        <f t="shared" si="2"/>
        <v>0.3351698806244261</v>
      </c>
      <c r="AC52" s="261">
        <f t="shared" si="3"/>
        <v>5.3627180899908176</v>
      </c>
      <c r="AD52" s="289"/>
      <c r="AE52" s="290" t="s">
        <v>294</v>
      </c>
      <c r="AF52" s="291">
        <v>8</v>
      </c>
      <c r="AG52" s="292" t="s">
        <v>1034</v>
      </c>
      <c r="AH52" s="293"/>
    </row>
    <row r="53" spans="1:41" s="107" customFormat="1">
      <c r="A53" s="242" t="s">
        <v>853</v>
      </c>
      <c r="B53" s="282" t="s">
        <v>324</v>
      </c>
      <c r="C53" s="106" t="s">
        <v>813</v>
      </c>
      <c r="D53" s="490" t="s">
        <v>883</v>
      </c>
      <c r="E53" s="491" t="s">
        <v>1094</v>
      </c>
      <c r="F53" s="495" t="s">
        <v>1094</v>
      </c>
      <c r="G53" s="411" t="s">
        <v>883</v>
      </c>
      <c r="H53" s="411" t="s">
        <v>1094</v>
      </c>
      <c r="I53" s="490" t="s">
        <v>883</v>
      </c>
      <c r="J53" s="490" t="s">
        <v>1094</v>
      </c>
      <c r="K53" s="416">
        <f t="shared" si="0"/>
        <v>2.3437499999999999E-4</v>
      </c>
      <c r="L53" s="490" t="s">
        <v>883</v>
      </c>
      <c r="M53" s="401" t="s">
        <v>1094</v>
      </c>
      <c r="N53" s="401" t="s">
        <v>1094</v>
      </c>
      <c r="O53" s="401" t="s">
        <v>1094</v>
      </c>
      <c r="P53" s="401" t="s">
        <v>1094</v>
      </c>
      <c r="Q53" s="490" t="s">
        <v>883</v>
      </c>
      <c r="R53" s="401" t="s">
        <v>1094</v>
      </c>
      <c r="S53" s="401" t="s">
        <v>1094</v>
      </c>
      <c r="T53" s="490" t="s">
        <v>883</v>
      </c>
      <c r="U53" s="490" t="s">
        <v>883</v>
      </c>
      <c r="V53" s="284">
        <f t="shared" si="5"/>
        <v>0.7940625</v>
      </c>
      <c r="W53" s="285"/>
      <c r="X53" s="286"/>
      <c r="Y53" s="287">
        <f>SUM(Z53/16)</f>
        <v>28.125</v>
      </c>
      <c r="Z53" s="287">
        <v>450</v>
      </c>
      <c r="AA53" s="288">
        <v>120000</v>
      </c>
      <c r="AB53" s="261">
        <f t="shared" si="2"/>
        <v>2.7548209366391183</v>
      </c>
      <c r="AC53" s="261">
        <f t="shared" si="3"/>
        <v>44.077134986225893</v>
      </c>
      <c r="AD53" s="289"/>
      <c r="AE53" s="290" t="s">
        <v>294</v>
      </c>
      <c r="AF53" s="291">
        <v>7</v>
      </c>
      <c r="AG53" s="292" t="s">
        <v>1034</v>
      </c>
      <c r="AH53" s="293" t="s">
        <v>970</v>
      </c>
    </row>
    <row r="54" spans="1:41" s="107" customFormat="1">
      <c r="A54" s="242" t="s">
        <v>853</v>
      </c>
      <c r="B54" s="282" t="s">
        <v>499</v>
      </c>
      <c r="C54" s="121" t="s">
        <v>777</v>
      </c>
      <c r="D54" s="490" t="s">
        <v>883</v>
      </c>
      <c r="E54" s="490" t="s">
        <v>1094</v>
      </c>
      <c r="F54" s="490" t="s">
        <v>1094</v>
      </c>
      <c r="G54" s="411" t="s">
        <v>1094</v>
      </c>
      <c r="H54" s="411" t="s">
        <v>1094</v>
      </c>
      <c r="I54" s="411" t="s">
        <v>1094</v>
      </c>
      <c r="J54" s="490" t="s">
        <v>1094</v>
      </c>
      <c r="K54" s="416">
        <f t="shared" si="0"/>
        <v>9.3750000000000002E-5</v>
      </c>
      <c r="L54" s="401" t="s">
        <v>1094</v>
      </c>
      <c r="M54" s="401" t="s">
        <v>1094</v>
      </c>
      <c r="N54" s="401" t="s">
        <v>1094</v>
      </c>
      <c r="O54" s="401" t="s">
        <v>1094</v>
      </c>
      <c r="P54" s="401" t="s">
        <v>1094</v>
      </c>
      <c r="Q54" s="401" t="s">
        <v>1094</v>
      </c>
      <c r="R54" s="401" t="s">
        <v>1094</v>
      </c>
      <c r="S54" s="401" t="s">
        <v>1094</v>
      </c>
      <c r="T54" s="401" t="s">
        <v>1094</v>
      </c>
      <c r="U54" s="401" t="s">
        <v>1094</v>
      </c>
      <c r="V54" s="284">
        <f t="shared" si="5"/>
        <v>0.119109375</v>
      </c>
      <c r="W54" s="285"/>
      <c r="X54" s="286"/>
      <c r="Y54" s="287">
        <f>SUM(Z54/16)</f>
        <v>75</v>
      </c>
      <c r="Z54" s="287">
        <v>1200</v>
      </c>
      <c r="AA54" s="288">
        <v>800000</v>
      </c>
      <c r="AB54" s="261">
        <f t="shared" si="2"/>
        <v>18.365472910927455</v>
      </c>
      <c r="AC54" s="261">
        <f t="shared" si="3"/>
        <v>293.84756657483928</v>
      </c>
      <c r="AD54" s="289"/>
      <c r="AE54" s="290" t="s">
        <v>863</v>
      </c>
      <c r="AF54" s="291">
        <v>5</v>
      </c>
      <c r="AG54" s="292" t="s">
        <v>1034</v>
      </c>
      <c r="AH54" s="293" t="s">
        <v>1241</v>
      </c>
    </row>
    <row r="55" spans="1:41" s="107" customFormat="1">
      <c r="A55" s="242" t="s">
        <v>853</v>
      </c>
      <c r="B55" s="282" t="s">
        <v>325</v>
      </c>
      <c r="C55" s="108" t="s">
        <v>252</v>
      </c>
      <c r="D55" s="490" t="s">
        <v>883</v>
      </c>
      <c r="E55" s="497" t="s">
        <v>1094</v>
      </c>
      <c r="F55" s="497" t="s">
        <v>1094</v>
      </c>
      <c r="G55" s="411" t="s">
        <v>1094</v>
      </c>
      <c r="H55" s="411" t="s">
        <v>1094</v>
      </c>
      <c r="I55" s="411" t="s">
        <v>1094</v>
      </c>
      <c r="J55" s="490" t="s">
        <v>1094</v>
      </c>
      <c r="K55" s="416">
        <f t="shared" si="0"/>
        <v>1.1363636363636364E-2</v>
      </c>
      <c r="L55" s="401" t="s">
        <v>1094</v>
      </c>
      <c r="M55" s="401" t="s">
        <v>1094</v>
      </c>
      <c r="N55" s="401" t="s">
        <v>1094</v>
      </c>
      <c r="O55" s="401" t="s">
        <v>1094</v>
      </c>
      <c r="P55" s="401" t="s">
        <v>1094</v>
      </c>
      <c r="Q55" s="401" t="s">
        <v>1094</v>
      </c>
      <c r="R55" s="401" t="s">
        <v>1094</v>
      </c>
      <c r="S55" s="401" t="s">
        <v>1094</v>
      </c>
      <c r="T55" s="401" t="s">
        <v>1094</v>
      </c>
      <c r="U55" s="401" t="s">
        <v>1094</v>
      </c>
      <c r="V55" s="284">
        <f t="shared" si="5"/>
        <v>144.375</v>
      </c>
      <c r="W55" s="285"/>
      <c r="X55" s="286"/>
      <c r="Y55" s="287">
        <f>SUM(Z55/16)</f>
        <v>7.5</v>
      </c>
      <c r="Z55" s="287">
        <v>120</v>
      </c>
      <c r="AA55" s="288">
        <v>660</v>
      </c>
      <c r="AB55" s="261">
        <f t="shared" si="2"/>
        <v>1.5151515151515152E-2</v>
      </c>
      <c r="AC55" s="261">
        <f t="shared" si="3"/>
        <v>0.24242424242424243</v>
      </c>
      <c r="AD55" s="289"/>
      <c r="AE55" s="290" t="s">
        <v>294</v>
      </c>
      <c r="AF55" s="291">
        <v>1</v>
      </c>
      <c r="AG55" s="292" t="s">
        <v>1034</v>
      </c>
      <c r="AH55" s="293" t="s">
        <v>946</v>
      </c>
    </row>
    <row r="56" spans="1:41" s="107" customFormat="1">
      <c r="A56" s="242" t="s">
        <v>853</v>
      </c>
      <c r="B56" s="282" t="s">
        <v>500</v>
      </c>
      <c r="C56" s="106" t="s">
        <v>607</v>
      </c>
      <c r="D56" s="490" t="s">
        <v>883</v>
      </c>
      <c r="E56" s="491" t="s">
        <v>1094</v>
      </c>
      <c r="F56" s="491" t="s">
        <v>1094</v>
      </c>
      <c r="G56" s="411" t="s">
        <v>1094</v>
      </c>
      <c r="H56" s="411" t="s">
        <v>1094</v>
      </c>
      <c r="I56" s="411" t="s">
        <v>1094</v>
      </c>
      <c r="J56" s="411" t="s">
        <v>883</v>
      </c>
      <c r="K56" s="416">
        <f t="shared" si="0"/>
        <v>1.6000000000000001E-3</v>
      </c>
      <c r="L56" s="490" t="s">
        <v>883</v>
      </c>
      <c r="M56" s="401" t="s">
        <v>1094</v>
      </c>
      <c r="N56" s="490" t="s">
        <v>883</v>
      </c>
      <c r="O56" s="401" t="s">
        <v>1094</v>
      </c>
      <c r="P56" s="490" t="s">
        <v>883</v>
      </c>
      <c r="Q56" s="490" t="s">
        <v>883</v>
      </c>
      <c r="R56" s="490" t="s">
        <v>883</v>
      </c>
      <c r="S56" s="490" t="s">
        <v>883</v>
      </c>
      <c r="T56" s="490" t="s">
        <v>883</v>
      </c>
      <c r="U56" s="490" t="s">
        <v>883</v>
      </c>
      <c r="V56" s="284">
        <f t="shared" si="5"/>
        <v>19.057500000000001</v>
      </c>
      <c r="W56" s="285"/>
      <c r="X56" s="286"/>
      <c r="Y56" s="287">
        <f>SUM(Z56/16)</f>
        <v>8</v>
      </c>
      <c r="Z56" s="287">
        <v>128</v>
      </c>
      <c r="AA56" s="288">
        <v>5000</v>
      </c>
      <c r="AB56" s="261">
        <f t="shared" si="2"/>
        <v>0.1147842056932966</v>
      </c>
      <c r="AC56" s="261">
        <f t="shared" si="3"/>
        <v>1.8365472910927456</v>
      </c>
      <c r="AD56" s="289"/>
      <c r="AE56" s="290" t="s">
        <v>294</v>
      </c>
      <c r="AF56" s="291">
        <v>3</v>
      </c>
      <c r="AG56" s="292" t="s">
        <v>1036</v>
      </c>
      <c r="AH56" s="293" t="s">
        <v>946</v>
      </c>
    </row>
    <row r="57" spans="1:41" s="107" customFormat="1">
      <c r="A57" s="242" t="s">
        <v>853</v>
      </c>
      <c r="B57" s="282" t="s">
        <v>326</v>
      </c>
      <c r="C57" s="121" t="s">
        <v>712</v>
      </c>
      <c r="D57" s="490" t="s">
        <v>883</v>
      </c>
      <c r="E57" s="490" t="s">
        <v>883</v>
      </c>
      <c r="F57" s="490" t="s">
        <v>1094</v>
      </c>
      <c r="G57" s="411" t="s">
        <v>1094</v>
      </c>
      <c r="H57" s="411" t="s">
        <v>1094</v>
      </c>
      <c r="I57" s="411" t="s">
        <v>1094</v>
      </c>
      <c r="J57" s="490" t="s">
        <v>883</v>
      </c>
      <c r="K57" s="416">
        <f t="shared" si="0"/>
        <v>1.4423076923076923E-5</v>
      </c>
      <c r="L57" s="401" t="s">
        <v>1094</v>
      </c>
      <c r="M57" s="401" t="s">
        <v>1094</v>
      </c>
      <c r="N57" s="401" t="s">
        <v>1094</v>
      </c>
      <c r="O57" s="401" t="s">
        <v>1094</v>
      </c>
      <c r="P57" s="401" t="s">
        <v>1094</v>
      </c>
      <c r="Q57" s="401" t="s">
        <v>1094</v>
      </c>
      <c r="R57" s="401" t="s">
        <v>1094</v>
      </c>
      <c r="S57" s="401" t="s">
        <v>1094</v>
      </c>
      <c r="T57" s="401" t="s">
        <v>1094</v>
      </c>
      <c r="U57" s="401" t="s">
        <v>1094</v>
      </c>
      <c r="V57" s="284">
        <f t="shared" si="5"/>
        <v>7.3298076923076924E-2</v>
      </c>
      <c r="W57" s="285"/>
      <c r="X57" s="286"/>
      <c r="Y57" s="287">
        <f>SUM(Z57/16)</f>
        <v>18.75</v>
      </c>
      <c r="Z57" s="287">
        <v>300</v>
      </c>
      <c r="AA57" s="288">
        <v>1300000</v>
      </c>
      <c r="AB57" s="261">
        <f t="shared" si="2"/>
        <v>29.843893480257115</v>
      </c>
      <c r="AC57" s="261">
        <f t="shared" si="3"/>
        <v>477.50229568411385</v>
      </c>
      <c r="AD57" s="289"/>
      <c r="AE57" s="290" t="s">
        <v>294</v>
      </c>
      <c r="AF57" s="291">
        <v>3</v>
      </c>
      <c r="AG57" s="292" t="s">
        <v>1034</v>
      </c>
      <c r="AH57" s="293" t="s">
        <v>1242</v>
      </c>
    </row>
    <row r="58" spans="1:41" s="107" customFormat="1">
      <c r="A58" s="242" t="s">
        <v>853</v>
      </c>
      <c r="B58" s="282" t="s">
        <v>327</v>
      </c>
      <c r="C58" s="121" t="s">
        <v>683</v>
      </c>
      <c r="D58" s="490" t="s">
        <v>1094</v>
      </c>
      <c r="E58" s="490" t="s">
        <v>883</v>
      </c>
      <c r="F58" s="490" t="s">
        <v>883</v>
      </c>
      <c r="G58" s="411" t="s">
        <v>1094</v>
      </c>
      <c r="H58" s="411" t="s">
        <v>1094</v>
      </c>
      <c r="I58" s="490" t="s">
        <v>883</v>
      </c>
      <c r="J58" s="490" t="s">
        <v>883</v>
      </c>
      <c r="K58" s="416">
        <f t="shared" si="0"/>
        <v>4.2857142857142859E-3</v>
      </c>
      <c r="L58" s="490" t="s">
        <v>883</v>
      </c>
      <c r="M58" s="401" t="s">
        <v>1094</v>
      </c>
      <c r="N58" s="490" t="s">
        <v>883</v>
      </c>
      <c r="O58" s="490" t="s">
        <v>883</v>
      </c>
      <c r="P58" s="490" t="s">
        <v>883</v>
      </c>
      <c r="Q58" s="401" t="s">
        <v>1094</v>
      </c>
      <c r="R58" s="490" t="s">
        <v>883</v>
      </c>
      <c r="S58" s="490" t="s">
        <v>883</v>
      </c>
      <c r="T58" s="401" t="s">
        <v>1094</v>
      </c>
      <c r="U58" s="401" t="s">
        <v>1094</v>
      </c>
      <c r="V58" s="284">
        <f t="shared" si="5"/>
        <v>13.612500000000001</v>
      </c>
      <c r="W58" s="285"/>
      <c r="X58" s="286"/>
      <c r="Y58" s="287">
        <v>30</v>
      </c>
      <c r="Z58" s="287">
        <v>450</v>
      </c>
      <c r="AA58" s="288">
        <v>7000</v>
      </c>
      <c r="AB58" s="261">
        <f t="shared" si="2"/>
        <v>0.16069788797061524</v>
      </c>
      <c r="AC58" s="261">
        <f t="shared" si="3"/>
        <v>2.5711662075298438</v>
      </c>
      <c r="AD58" s="289"/>
      <c r="AE58" s="290" t="s">
        <v>294</v>
      </c>
      <c r="AF58" s="291">
        <v>8</v>
      </c>
      <c r="AG58" s="292" t="s">
        <v>1034</v>
      </c>
      <c r="AH58" s="293" t="s">
        <v>946</v>
      </c>
    </row>
    <row r="59" spans="1:41" s="107" customFormat="1">
      <c r="A59" s="242" t="s">
        <v>853</v>
      </c>
      <c r="B59" s="282" t="s">
        <v>328</v>
      </c>
      <c r="C59" s="121" t="s">
        <v>655</v>
      </c>
      <c r="D59" s="490" t="s">
        <v>1094</v>
      </c>
      <c r="E59" s="490" t="s">
        <v>1094</v>
      </c>
      <c r="F59" s="490" t="s">
        <v>883</v>
      </c>
      <c r="G59" s="411" t="s">
        <v>1094</v>
      </c>
      <c r="H59" s="411" t="s">
        <v>1094</v>
      </c>
      <c r="I59" s="490" t="s">
        <v>883</v>
      </c>
      <c r="J59" s="490" t="s">
        <v>1094</v>
      </c>
      <c r="K59" s="416">
        <f t="shared" si="0"/>
        <v>3.635057471264368E-4</v>
      </c>
      <c r="L59" s="401" t="s">
        <v>1094</v>
      </c>
      <c r="M59" s="401" t="s">
        <v>1094</v>
      </c>
      <c r="N59" s="401" t="s">
        <v>1094</v>
      </c>
      <c r="O59" s="401" t="s">
        <v>1094</v>
      </c>
      <c r="P59" s="401" t="s">
        <v>1094</v>
      </c>
      <c r="Q59" s="401" t="s">
        <v>1094</v>
      </c>
      <c r="R59" s="401" t="s">
        <v>1094</v>
      </c>
      <c r="S59" s="401" t="s">
        <v>1094</v>
      </c>
      <c r="T59" s="401" t="s">
        <v>1094</v>
      </c>
      <c r="U59" s="401" t="s">
        <v>1094</v>
      </c>
      <c r="V59" s="284">
        <f t="shared" si="5"/>
        <v>0.21905172413793103</v>
      </c>
      <c r="W59" s="285"/>
      <c r="X59" s="286"/>
      <c r="Y59" s="287">
        <f>SUM(Z59/16)</f>
        <v>158.125</v>
      </c>
      <c r="Z59" s="287">
        <v>2530</v>
      </c>
      <c r="AA59" s="288">
        <v>435000</v>
      </c>
      <c r="AB59" s="261">
        <f t="shared" si="2"/>
        <v>9.9862258953168048</v>
      </c>
      <c r="AC59" s="261">
        <f t="shared" si="3"/>
        <v>159.77961432506888</v>
      </c>
      <c r="AD59" s="289"/>
      <c r="AE59" s="290" t="s">
        <v>294</v>
      </c>
      <c r="AF59" s="291">
        <v>9</v>
      </c>
      <c r="AG59" s="292" t="s">
        <v>1034</v>
      </c>
      <c r="AH59" s="293" t="s">
        <v>1236</v>
      </c>
      <c r="AI59" s="220"/>
      <c r="AK59" s="220"/>
      <c r="AM59" s="220"/>
      <c r="AN59" s="220"/>
      <c r="AO59" s="220"/>
    </row>
    <row r="60" spans="1:41" s="107" customFormat="1">
      <c r="A60" s="529" t="s">
        <v>853</v>
      </c>
      <c r="B60" s="530" t="s">
        <v>11156</v>
      </c>
      <c r="C60" s="545" t="s">
        <v>4006</v>
      </c>
      <c r="D60" s="546" t="s">
        <v>1094</v>
      </c>
      <c r="E60" s="547" t="s">
        <v>1094</v>
      </c>
      <c r="F60" s="547" t="s">
        <v>883</v>
      </c>
      <c r="G60" s="548" t="s">
        <v>1094</v>
      </c>
      <c r="H60" s="548" t="s">
        <v>1094</v>
      </c>
      <c r="I60" s="547" t="s">
        <v>883</v>
      </c>
      <c r="J60" s="547" t="s">
        <v>1094</v>
      </c>
      <c r="K60" s="533">
        <f t="shared" si="0"/>
        <v>5.0000000000000001E-4</v>
      </c>
      <c r="L60" s="547" t="s">
        <v>883</v>
      </c>
      <c r="M60" s="533" t="s">
        <v>883</v>
      </c>
      <c r="N60" s="533" t="s">
        <v>883</v>
      </c>
      <c r="O60" s="533" t="s">
        <v>883</v>
      </c>
      <c r="P60" s="547" t="s">
        <v>883</v>
      </c>
      <c r="Q60" s="547" t="s">
        <v>883</v>
      </c>
      <c r="R60" s="533" t="s">
        <v>1094</v>
      </c>
      <c r="S60" s="533" t="s">
        <v>1094</v>
      </c>
      <c r="T60" s="533" t="s">
        <v>883</v>
      </c>
      <c r="U60" s="533" t="s">
        <v>883</v>
      </c>
      <c r="V60" s="534">
        <f t="shared" si="5"/>
        <v>0.23821875000000001</v>
      </c>
      <c r="W60" s="549"/>
      <c r="X60" s="549"/>
      <c r="Y60" s="537">
        <v>200</v>
      </c>
      <c r="Z60" s="537">
        <v>3200</v>
      </c>
      <c r="AA60" s="538">
        <v>400000</v>
      </c>
      <c r="AB60" s="516">
        <f t="shared" si="2"/>
        <v>9.1827364554637274</v>
      </c>
      <c r="AC60" s="516">
        <f t="shared" si="3"/>
        <v>146.92378328741964</v>
      </c>
      <c r="AD60" s="530"/>
      <c r="AE60" s="540" t="s">
        <v>863</v>
      </c>
      <c r="AF60" s="541">
        <v>7</v>
      </c>
      <c r="AG60" s="542" t="s">
        <v>1034</v>
      </c>
      <c r="AH60" s="293" t="s">
        <v>1236</v>
      </c>
    </row>
    <row r="61" spans="1:41" s="107" customFormat="1">
      <c r="A61" s="242" t="s">
        <v>853</v>
      </c>
      <c r="B61" s="282" t="s">
        <v>329</v>
      </c>
      <c r="C61" s="121" t="s">
        <v>622</v>
      </c>
      <c r="D61" s="490" t="s">
        <v>1094</v>
      </c>
      <c r="E61" s="490" t="s">
        <v>883</v>
      </c>
      <c r="F61" s="490" t="s">
        <v>883</v>
      </c>
      <c r="G61" s="411" t="s">
        <v>1094</v>
      </c>
      <c r="H61" s="490" t="s">
        <v>883</v>
      </c>
      <c r="I61" s="490" t="s">
        <v>883</v>
      </c>
      <c r="J61" s="490" t="s">
        <v>883</v>
      </c>
      <c r="K61" s="416">
        <f t="shared" si="0"/>
        <v>2.9999999999999997E-4</v>
      </c>
      <c r="L61" s="490" t="s">
        <v>883</v>
      </c>
      <c r="M61" s="401" t="s">
        <v>1094</v>
      </c>
      <c r="N61" s="490" t="s">
        <v>883</v>
      </c>
      <c r="O61" s="401" t="s">
        <v>1094</v>
      </c>
      <c r="P61" s="401" t="s">
        <v>1094</v>
      </c>
      <c r="Q61" s="401" t="s">
        <v>1094</v>
      </c>
      <c r="R61" s="490" t="s">
        <v>883</v>
      </c>
      <c r="S61" s="490" t="s">
        <v>883</v>
      </c>
      <c r="T61" s="401" t="s">
        <v>1094</v>
      </c>
      <c r="U61" s="490" t="s">
        <v>883</v>
      </c>
      <c r="V61" s="284">
        <f t="shared" si="5"/>
        <v>0.47643750000000001</v>
      </c>
      <c r="W61" s="285"/>
      <c r="X61" s="286"/>
      <c r="Y61" s="287">
        <f>SUM(Z61/16)</f>
        <v>60</v>
      </c>
      <c r="Z61" s="287">
        <v>960</v>
      </c>
      <c r="AA61" s="288">
        <v>200000</v>
      </c>
      <c r="AB61" s="261">
        <f t="shared" si="2"/>
        <v>4.5913682277318637</v>
      </c>
      <c r="AC61" s="261">
        <f t="shared" si="3"/>
        <v>73.461891643709819</v>
      </c>
      <c r="AD61" s="289"/>
      <c r="AE61" s="290" t="s">
        <v>525</v>
      </c>
      <c r="AF61" s="291">
        <v>10</v>
      </c>
      <c r="AG61" s="292" t="s">
        <v>1038</v>
      </c>
      <c r="AH61" s="293" t="s">
        <v>971</v>
      </c>
      <c r="AI61" s="209"/>
      <c r="AJ61" s="209"/>
      <c r="AK61" s="209"/>
      <c r="AL61" s="209"/>
      <c r="AM61" s="209"/>
      <c r="AN61" s="209"/>
      <c r="AO61" s="209"/>
    </row>
    <row r="62" spans="1:41" s="107" customFormat="1">
      <c r="A62" s="242" t="s">
        <v>853</v>
      </c>
      <c r="B62" s="282" t="s">
        <v>330</v>
      </c>
      <c r="C62" s="121" t="s">
        <v>665</v>
      </c>
      <c r="D62" s="490" t="s">
        <v>1094</v>
      </c>
      <c r="E62" s="490" t="s">
        <v>1094</v>
      </c>
      <c r="F62" s="490" t="s">
        <v>883</v>
      </c>
      <c r="G62" s="411" t="s">
        <v>1094</v>
      </c>
      <c r="H62" s="411" t="s">
        <v>1094</v>
      </c>
      <c r="I62" s="490" t="s">
        <v>883</v>
      </c>
      <c r="J62" s="490" t="s">
        <v>883</v>
      </c>
      <c r="K62" s="416">
        <f t="shared" si="0"/>
        <v>2.6785714285714286E-3</v>
      </c>
      <c r="L62" s="490" t="s">
        <v>883</v>
      </c>
      <c r="M62" s="401" t="s">
        <v>1094</v>
      </c>
      <c r="N62" s="490" t="s">
        <v>883</v>
      </c>
      <c r="O62" s="490" t="s">
        <v>883</v>
      </c>
      <c r="P62" s="490" t="s">
        <v>883</v>
      </c>
      <c r="Q62" s="490" t="s">
        <v>883</v>
      </c>
      <c r="R62" s="401" t="s">
        <v>1094</v>
      </c>
      <c r="S62" s="401" t="s">
        <v>1094</v>
      </c>
      <c r="T62" s="490" t="s">
        <v>883</v>
      </c>
      <c r="U62" s="490" t="s">
        <v>883</v>
      </c>
      <c r="V62" s="284">
        <f t="shared" si="5"/>
        <v>13.612500000000001</v>
      </c>
      <c r="W62" s="285"/>
      <c r="X62" s="286"/>
      <c r="Y62" s="287">
        <f>SUM(Z62/16)</f>
        <v>18.75</v>
      </c>
      <c r="Z62" s="287">
        <v>300</v>
      </c>
      <c r="AA62" s="288">
        <v>7000</v>
      </c>
      <c r="AB62" s="261">
        <f t="shared" si="2"/>
        <v>0.16069788797061524</v>
      </c>
      <c r="AC62" s="261">
        <f t="shared" si="3"/>
        <v>2.5711662075298438</v>
      </c>
      <c r="AD62" s="289"/>
      <c r="AE62" s="290" t="s">
        <v>294</v>
      </c>
      <c r="AF62" s="291">
        <v>6</v>
      </c>
      <c r="AG62" s="292" t="s">
        <v>1034</v>
      </c>
      <c r="AH62" s="293" t="s">
        <v>960</v>
      </c>
    </row>
    <row r="63" spans="1:41" s="220" customFormat="1">
      <c r="A63" s="242" t="s">
        <v>853</v>
      </c>
      <c r="B63" s="282" t="s">
        <v>331</v>
      </c>
      <c r="C63" s="108" t="s">
        <v>260</v>
      </c>
      <c r="D63" s="494" t="s">
        <v>883</v>
      </c>
      <c r="E63" s="499" t="s">
        <v>1094</v>
      </c>
      <c r="F63" s="490" t="s">
        <v>1094</v>
      </c>
      <c r="G63" s="490" t="s">
        <v>883</v>
      </c>
      <c r="H63" s="411" t="s">
        <v>883</v>
      </c>
      <c r="I63" s="490" t="s">
        <v>883</v>
      </c>
      <c r="J63" s="411" t="s">
        <v>1094</v>
      </c>
      <c r="K63" s="416">
        <f t="shared" si="0"/>
        <v>2.7650443772554373E-3</v>
      </c>
      <c r="L63" s="490" t="s">
        <v>883</v>
      </c>
      <c r="M63" s="401" t="s">
        <v>1094</v>
      </c>
      <c r="N63" s="401" t="s">
        <v>1094</v>
      </c>
      <c r="O63" s="490" t="s">
        <v>883</v>
      </c>
      <c r="P63" s="401" t="s">
        <v>1094</v>
      </c>
      <c r="Q63" s="490" t="s">
        <v>883</v>
      </c>
      <c r="R63" s="401" t="s">
        <v>1094</v>
      </c>
      <c r="S63" s="401" t="s">
        <v>1094</v>
      </c>
      <c r="T63" s="401" t="s">
        <v>1094</v>
      </c>
      <c r="U63" s="401" t="s">
        <v>1094</v>
      </c>
      <c r="V63" s="284">
        <f t="shared" si="5"/>
        <v>7.4348971032868425</v>
      </c>
      <c r="W63" s="285"/>
      <c r="X63" s="286"/>
      <c r="Y63" s="287">
        <f>SUM(Z63/16)</f>
        <v>35.4375</v>
      </c>
      <c r="Z63" s="287">
        <v>567</v>
      </c>
      <c r="AA63" s="288">
        <v>12816.25</v>
      </c>
      <c r="AB63" s="261">
        <f t="shared" si="2"/>
        <v>0.29422061524334253</v>
      </c>
      <c r="AC63" s="261">
        <f t="shared" si="3"/>
        <v>4.7075298438934805</v>
      </c>
      <c r="AD63" s="289"/>
      <c r="AE63" s="478" t="s">
        <v>11303</v>
      </c>
      <c r="AF63" s="291">
        <v>5</v>
      </c>
      <c r="AG63" s="292" t="s">
        <v>1034</v>
      </c>
      <c r="AH63" s="293" t="s">
        <v>963</v>
      </c>
      <c r="AI63" s="107"/>
      <c r="AJ63" s="107"/>
      <c r="AK63" s="107"/>
      <c r="AL63" s="107"/>
      <c r="AM63" s="107"/>
      <c r="AN63" s="107"/>
      <c r="AO63" s="107"/>
    </row>
    <row r="64" spans="1:41" s="107" customFormat="1">
      <c r="A64" s="242" t="s">
        <v>853</v>
      </c>
      <c r="B64" s="282" t="s">
        <v>501</v>
      </c>
      <c r="C64" s="121" t="s">
        <v>528</v>
      </c>
      <c r="D64" s="490" t="s">
        <v>1094</v>
      </c>
      <c r="E64" s="490" t="s">
        <v>1094</v>
      </c>
      <c r="F64" s="490" t="s">
        <v>883</v>
      </c>
      <c r="G64" s="490" t="s">
        <v>883</v>
      </c>
      <c r="H64" s="411" t="s">
        <v>1094</v>
      </c>
      <c r="I64" s="490" t="s">
        <v>883</v>
      </c>
      <c r="J64" s="411" t="s">
        <v>1094</v>
      </c>
      <c r="K64" s="416">
        <f t="shared" si="0"/>
        <v>1.4999999999999999E-4</v>
      </c>
      <c r="L64" s="490" t="s">
        <v>883</v>
      </c>
      <c r="M64" s="490" t="s">
        <v>883</v>
      </c>
      <c r="N64" s="490" t="s">
        <v>883</v>
      </c>
      <c r="O64" s="490" t="s">
        <v>883</v>
      </c>
      <c r="P64" s="490" t="s">
        <v>883</v>
      </c>
      <c r="Q64" s="490" t="s">
        <v>883</v>
      </c>
      <c r="R64" s="490" t="s">
        <v>883</v>
      </c>
      <c r="S64" s="401" t="s">
        <v>1094</v>
      </c>
      <c r="T64" s="490" t="s">
        <v>883</v>
      </c>
      <c r="U64" s="490" t="s">
        <v>883</v>
      </c>
      <c r="V64" s="284">
        <f t="shared" si="5"/>
        <v>1.1910937500000001</v>
      </c>
      <c r="W64" s="285"/>
      <c r="X64" s="286"/>
      <c r="Y64" s="287">
        <v>12</v>
      </c>
      <c r="Z64" s="287">
        <f>SUM(Y64*16)</f>
        <v>192</v>
      </c>
      <c r="AA64" s="288">
        <v>80000</v>
      </c>
      <c r="AB64" s="261">
        <f t="shared" si="2"/>
        <v>1.8365472910927456</v>
      </c>
      <c r="AC64" s="261">
        <f t="shared" si="3"/>
        <v>29.38475665748393</v>
      </c>
      <c r="AD64" s="289"/>
      <c r="AE64" s="290" t="s">
        <v>293</v>
      </c>
      <c r="AF64" s="291">
        <v>4</v>
      </c>
      <c r="AG64" s="292" t="s">
        <v>1034</v>
      </c>
      <c r="AH64" s="293" t="s">
        <v>949</v>
      </c>
    </row>
    <row r="65" spans="1:41" s="209" customFormat="1">
      <c r="A65" s="529" t="s">
        <v>853</v>
      </c>
      <c r="B65" s="530" t="s">
        <v>11158</v>
      </c>
      <c r="C65" s="551" t="s">
        <v>4908</v>
      </c>
      <c r="D65" s="529" t="s">
        <v>883</v>
      </c>
      <c r="E65" s="547" t="s">
        <v>1094</v>
      </c>
      <c r="F65" s="547" t="s">
        <v>883</v>
      </c>
      <c r="G65" s="548" t="s">
        <v>883</v>
      </c>
      <c r="H65" s="548" t="s">
        <v>883</v>
      </c>
      <c r="I65" s="547" t="s">
        <v>883</v>
      </c>
      <c r="J65" s="547" t="s">
        <v>1094</v>
      </c>
      <c r="K65" s="533">
        <f t="shared" si="0"/>
        <v>1.1428571428571429E-2</v>
      </c>
      <c r="L65" s="547" t="s">
        <v>1094</v>
      </c>
      <c r="M65" s="533" t="s">
        <v>1094</v>
      </c>
      <c r="N65" s="533" t="s">
        <v>1094</v>
      </c>
      <c r="O65" s="533" t="s">
        <v>1094</v>
      </c>
      <c r="P65" s="533" t="s">
        <v>1094</v>
      </c>
      <c r="Q65" s="533" t="s">
        <v>1094</v>
      </c>
      <c r="R65" s="547" t="s">
        <v>1094</v>
      </c>
      <c r="S65" s="533" t="s">
        <v>1094</v>
      </c>
      <c r="T65" s="547" t="s">
        <v>1094</v>
      </c>
      <c r="U65" s="547" t="s">
        <v>1094</v>
      </c>
      <c r="V65" s="534">
        <f t="shared" si="5"/>
        <v>5.4450000000000003</v>
      </c>
      <c r="W65" s="535"/>
      <c r="X65" s="536"/>
      <c r="Y65" s="537">
        <v>200</v>
      </c>
      <c r="Z65" s="537">
        <v>3200</v>
      </c>
      <c r="AA65" s="538">
        <v>17500</v>
      </c>
      <c r="AB65" s="516">
        <f t="shared" si="2"/>
        <v>0.4017447199265381</v>
      </c>
      <c r="AC65" s="516">
        <f t="shared" si="3"/>
        <v>6.4279155188246095</v>
      </c>
      <c r="AD65" s="539"/>
      <c r="AE65" s="540" t="s">
        <v>290</v>
      </c>
      <c r="AF65" s="541">
        <v>7</v>
      </c>
      <c r="AG65" s="542" t="s">
        <v>1034</v>
      </c>
      <c r="AH65" s="543"/>
      <c r="AI65" s="107"/>
      <c r="AJ65" s="107"/>
      <c r="AK65" s="107"/>
      <c r="AL65" s="107"/>
      <c r="AM65" s="107"/>
      <c r="AN65" s="107"/>
      <c r="AO65" s="107"/>
    </row>
    <row r="66" spans="1:41" s="107" customFormat="1">
      <c r="A66" s="242" t="s">
        <v>853</v>
      </c>
      <c r="B66" s="282" t="s">
        <v>332</v>
      </c>
      <c r="C66" s="121" t="s">
        <v>728</v>
      </c>
      <c r="D66" s="490" t="s">
        <v>1094</v>
      </c>
      <c r="E66" s="490" t="s">
        <v>1094</v>
      </c>
      <c r="F66" s="490" t="s">
        <v>883</v>
      </c>
      <c r="G66" s="411" t="s">
        <v>1094</v>
      </c>
      <c r="H66" s="411" t="s">
        <v>1094</v>
      </c>
      <c r="I66" s="490" t="s">
        <v>883</v>
      </c>
      <c r="J66" s="490" t="s">
        <v>883</v>
      </c>
      <c r="K66" s="416">
        <f t="shared" si="0"/>
        <v>1.4999999999999999E-4</v>
      </c>
      <c r="L66" s="490" t="s">
        <v>883</v>
      </c>
      <c r="M66" s="401" t="s">
        <v>1094</v>
      </c>
      <c r="N66" s="401" t="s">
        <v>1094</v>
      </c>
      <c r="O66" s="490" t="s">
        <v>883</v>
      </c>
      <c r="P66" s="401" t="s">
        <v>1094</v>
      </c>
      <c r="Q66" s="490" t="s">
        <v>883</v>
      </c>
      <c r="R66" s="490" t="s">
        <v>883</v>
      </c>
      <c r="S66" s="401" t="s">
        <v>1094</v>
      </c>
      <c r="T66" s="490" t="s">
        <v>883</v>
      </c>
      <c r="U66" s="490" t="s">
        <v>883</v>
      </c>
      <c r="V66" s="284">
        <f t="shared" si="5"/>
        <v>0.47643750000000001</v>
      </c>
      <c r="W66" s="285"/>
      <c r="X66" s="286"/>
      <c r="Y66" s="287">
        <f t="shared" ref="Y66:Y74" si="7">SUM(Z66/16)</f>
        <v>30</v>
      </c>
      <c r="Z66" s="287">
        <v>480</v>
      </c>
      <c r="AA66" s="288">
        <v>200000</v>
      </c>
      <c r="AB66" s="261">
        <f t="shared" si="2"/>
        <v>4.5913682277318637</v>
      </c>
      <c r="AC66" s="261">
        <f t="shared" si="3"/>
        <v>73.461891643709819</v>
      </c>
      <c r="AD66" s="289"/>
      <c r="AE66" s="290" t="s">
        <v>291</v>
      </c>
      <c r="AF66" s="291">
        <v>7</v>
      </c>
      <c r="AG66" s="292" t="s">
        <v>1034</v>
      </c>
      <c r="AH66" s="293" t="s">
        <v>946</v>
      </c>
    </row>
    <row r="67" spans="1:41" s="107" customFormat="1">
      <c r="A67" s="242" t="s">
        <v>853</v>
      </c>
      <c r="B67" s="282" t="s">
        <v>333</v>
      </c>
      <c r="C67" s="121" t="s">
        <v>745</v>
      </c>
      <c r="D67" s="490" t="s">
        <v>1094</v>
      </c>
      <c r="E67" s="490" t="s">
        <v>883</v>
      </c>
      <c r="F67" s="490" t="s">
        <v>883</v>
      </c>
      <c r="G67" s="490" t="s">
        <v>1094</v>
      </c>
      <c r="H67" s="411" t="s">
        <v>1094</v>
      </c>
      <c r="I67" s="490" t="s">
        <v>883</v>
      </c>
      <c r="J67" s="411" t="s">
        <v>1094</v>
      </c>
      <c r="K67" s="416">
        <f t="shared" si="0"/>
        <v>0.03</v>
      </c>
      <c r="L67" s="490" t="s">
        <v>883</v>
      </c>
      <c r="M67" s="401" t="s">
        <v>1094</v>
      </c>
      <c r="N67" s="401" t="s">
        <v>1094</v>
      </c>
      <c r="O67" s="401" t="s">
        <v>1094</v>
      </c>
      <c r="P67" s="401" t="s">
        <v>1094</v>
      </c>
      <c r="Q67" s="401" t="s">
        <v>1094</v>
      </c>
      <c r="R67" s="490" t="s">
        <v>883</v>
      </c>
      <c r="S67" s="401" t="s">
        <v>1094</v>
      </c>
      <c r="T67" s="490" t="s">
        <v>883</v>
      </c>
      <c r="U67" s="490" t="s">
        <v>883</v>
      </c>
      <c r="V67" s="284">
        <f t="shared" si="5"/>
        <v>47.643750000000004</v>
      </c>
      <c r="W67" s="285"/>
      <c r="X67" s="286"/>
      <c r="Y67" s="287">
        <f t="shared" si="7"/>
        <v>60</v>
      </c>
      <c r="Z67" s="287">
        <v>960</v>
      </c>
      <c r="AA67" s="288">
        <v>2000</v>
      </c>
      <c r="AB67" s="261">
        <f t="shared" si="2"/>
        <v>4.5913682277318638E-2</v>
      </c>
      <c r="AC67" s="261">
        <f t="shared" si="3"/>
        <v>0.7346189164370982</v>
      </c>
      <c r="AD67" s="289"/>
      <c r="AE67" s="290" t="s">
        <v>525</v>
      </c>
      <c r="AF67" s="291">
        <v>4</v>
      </c>
      <c r="AG67" s="292" t="s">
        <v>1034</v>
      </c>
      <c r="AH67" s="293" t="s">
        <v>970</v>
      </c>
    </row>
    <row r="68" spans="1:41" s="107" customFormat="1">
      <c r="A68" s="242" t="s">
        <v>853</v>
      </c>
      <c r="B68" s="282" t="s">
        <v>334</v>
      </c>
      <c r="C68" s="121" t="s">
        <v>764</v>
      </c>
      <c r="D68" s="490" t="s">
        <v>883</v>
      </c>
      <c r="E68" s="490" t="s">
        <v>1094</v>
      </c>
      <c r="F68" s="490" t="s">
        <v>883</v>
      </c>
      <c r="G68" s="490" t="s">
        <v>883</v>
      </c>
      <c r="H68" s="411" t="s">
        <v>883</v>
      </c>
      <c r="I68" s="490" t="s">
        <v>883</v>
      </c>
      <c r="J68" s="411" t="s">
        <v>1094</v>
      </c>
      <c r="K68" s="416">
        <f t="shared" ref="K68:K131" si="8">Y68/AA68</f>
        <v>3.2106164383561642E-3</v>
      </c>
      <c r="L68" s="490" t="s">
        <v>883</v>
      </c>
      <c r="M68" s="401" t="s">
        <v>1094</v>
      </c>
      <c r="N68" s="401" t="s">
        <v>1094</v>
      </c>
      <c r="O68" s="401" t="s">
        <v>1094</v>
      </c>
      <c r="P68" s="401" t="s">
        <v>1094</v>
      </c>
      <c r="Q68" s="401" t="s">
        <v>1094</v>
      </c>
      <c r="R68" s="401" t="s">
        <v>1094</v>
      </c>
      <c r="S68" s="490" t="s">
        <v>883</v>
      </c>
      <c r="T68" s="490" t="s">
        <v>883</v>
      </c>
      <c r="U68" s="401" t="s">
        <v>1094</v>
      </c>
      <c r="V68" s="318">
        <f t="shared" ref="V68:V99" si="9">35/AC68</f>
        <v>13.05308219178082</v>
      </c>
      <c r="W68" s="319"/>
      <c r="X68" s="279"/>
      <c r="Y68" s="287">
        <f t="shared" si="7"/>
        <v>23.4375</v>
      </c>
      <c r="Z68" s="287">
        <v>375</v>
      </c>
      <c r="AA68" s="288">
        <v>7300</v>
      </c>
      <c r="AB68" s="261">
        <f t="shared" ref="AB68:AB131" si="10">(AA68/43560)</f>
        <v>0.16758494031221305</v>
      </c>
      <c r="AC68" s="261">
        <f t="shared" ref="AC68:AC131" si="11">AB68*16</f>
        <v>2.6813590449954088</v>
      </c>
      <c r="AD68" s="289"/>
      <c r="AE68" s="290" t="s">
        <v>290</v>
      </c>
      <c r="AF68" s="291">
        <v>8</v>
      </c>
      <c r="AG68" s="292" t="s">
        <v>1034</v>
      </c>
      <c r="AH68" s="293" t="s">
        <v>946</v>
      </c>
    </row>
    <row r="69" spans="1:41" s="107" customFormat="1">
      <c r="A69" s="337" t="s">
        <v>853</v>
      </c>
      <c r="B69" s="282" t="s">
        <v>335</v>
      </c>
      <c r="C69" s="121" t="s">
        <v>618</v>
      </c>
      <c r="D69" s="490" t="s">
        <v>1094</v>
      </c>
      <c r="E69" s="490" t="s">
        <v>1094</v>
      </c>
      <c r="F69" s="490" t="s">
        <v>883</v>
      </c>
      <c r="G69" s="411" t="s">
        <v>1094</v>
      </c>
      <c r="H69" s="411" t="s">
        <v>1094</v>
      </c>
      <c r="I69" s="490" t="s">
        <v>883</v>
      </c>
      <c r="J69" s="490" t="s">
        <v>1094</v>
      </c>
      <c r="K69" s="416">
        <f t="shared" si="8"/>
        <v>1.9047619047619049E-2</v>
      </c>
      <c r="L69" s="490" t="s">
        <v>883</v>
      </c>
      <c r="M69" s="401" t="s">
        <v>1094</v>
      </c>
      <c r="N69" s="490" t="s">
        <v>883</v>
      </c>
      <c r="O69" s="490" t="s">
        <v>883</v>
      </c>
      <c r="P69" s="490" t="s">
        <v>883</v>
      </c>
      <c r="Q69" s="490" t="s">
        <v>883</v>
      </c>
      <c r="R69" s="401" t="s">
        <v>1094</v>
      </c>
      <c r="S69" s="401" t="s">
        <v>1094</v>
      </c>
      <c r="T69" s="401" t="s">
        <v>1094</v>
      </c>
      <c r="U69" s="490" t="s">
        <v>883</v>
      </c>
      <c r="V69" s="284">
        <f t="shared" si="9"/>
        <v>22.6875</v>
      </c>
      <c r="W69" s="285"/>
      <c r="X69" s="286"/>
      <c r="Y69" s="287">
        <f t="shared" si="7"/>
        <v>80</v>
      </c>
      <c r="Z69" s="287">
        <v>1280</v>
      </c>
      <c r="AA69" s="288">
        <v>4200</v>
      </c>
      <c r="AB69" s="261">
        <f t="shared" si="10"/>
        <v>9.6418732782369149E-2</v>
      </c>
      <c r="AC69" s="261">
        <f t="shared" si="11"/>
        <v>1.5426997245179064</v>
      </c>
      <c r="AD69" s="289"/>
      <c r="AE69" s="290" t="s">
        <v>525</v>
      </c>
      <c r="AF69" s="291">
        <v>9</v>
      </c>
      <c r="AG69" s="292" t="s">
        <v>1034</v>
      </c>
      <c r="AH69" s="293" t="s">
        <v>946</v>
      </c>
      <c r="AK69" s="219"/>
    </row>
    <row r="70" spans="1:41" s="107" customFormat="1">
      <c r="A70" s="242" t="s">
        <v>853</v>
      </c>
      <c r="B70" s="281" t="s">
        <v>1295</v>
      </c>
      <c r="C70" s="121" t="s">
        <v>1078</v>
      </c>
      <c r="D70" s="490" t="s">
        <v>1094</v>
      </c>
      <c r="E70" s="490" t="s">
        <v>883</v>
      </c>
      <c r="F70" s="490" t="s">
        <v>883</v>
      </c>
      <c r="G70" s="411" t="s">
        <v>1094</v>
      </c>
      <c r="H70" s="411" t="s">
        <v>1094</v>
      </c>
      <c r="I70" s="490" t="s">
        <v>883</v>
      </c>
      <c r="J70" s="490" t="s">
        <v>883</v>
      </c>
      <c r="K70" s="416">
        <f t="shared" si="8"/>
        <v>1.5625000000000001E-3</v>
      </c>
      <c r="L70" s="401" t="s">
        <v>1094</v>
      </c>
      <c r="M70" s="401" t="s">
        <v>1094</v>
      </c>
      <c r="N70" s="401" t="s">
        <v>1094</v>
      </c>
      <c r="O70" s="401" t="s">
        <v>1094</v>
      </c>
      <c r="P70" s="401" t="s">
        <v>1094</v>
      </c>
      <c r="Q70" s="401" t="s">
        <v>1094</v>
      </c>
      <c r="R70" s="401" t="s">
        <v>1094</v>
      </c>
      <c r="S70" s="401" t="s">
        <v>1094</v>
      </c>
      <c r="T70" s="401" t="s">
        <v>1094</v>
      </c>
      <c r="U70" s="401" t="s">
        <v>1094</v>
      </c>
      <c r="V70" s="284">
        <f t="shared" si="9"/>
        <v>5.2937500000000002</v>
      </c>
      <c r="W70" s="299"/>
      <c r="X70" s="299"/>
      <c r="Y70" s="287">
        <f t="shared" si="7"/>
        <v>28.125</v>
      </c>
      <c r="Z70" s="287">
        <v>450</v>
      </c>
      <c r="AA70" s="288">
        <v>18000</v>
      </c>
      <c r="AB70" s="261">
        <f t="shared" si="10"/>
        <v>0.41322314049586778</v>
      </c>
      <c r="AC70" s="261">
        <f t="shared" si="11"/>
        <v>6.6115702479338845</v>
      </c>
      <c r="AD70" s="282"/>
      <c r="AE70" s="290" t="s">
        <v>290</v>
      </c>
      <c r="AF70" s="291">
        <v>8</v>
      </c>
      <c r="AG70" s="292" t="s">
        <v>1034</v>
      </c>
      <c r="AH70" s="293" t="s">
        <v>946</v>
      </c>
      <c r="AI70" s="219"/>
      <c r="AM70" s="219"/>
      <c r="AN70" s="219"/>
      <c r="AO70" s="219"/>
    </row>
    <row r="71" spans="1:41" s="107" customFormat="1">
      <c r="A71" s="242" t="s">
        <v>853</v>
      </c>
      <c r="B71" s="282" t="s">
        <v>1243</v>
      </c>
      <c r="C71" s="108" t="s">
        <v>258</v>
      </c>
      <c r="D71" s="497" t="s">
        <v>1094</v>
      </c>
      <c r="E71" s="490" t="s">
        <v>1094</v>
      </c>
      <c r="F71" s="490" t="s">
        <v>883</v>
      </c>
      <c r="G71" s="490" t="s">
        <v>883</v>
      </c>
      <c r="H71" s="411" t="s">
        <v>1094</v>
      </c>
      <c r="I71" s="490" t="s">
        <v>883</v>
      </c>
      <c r="J71" s="411" t="s">
        <v>1094</v>
      </c>
      <c r="K71" s="416">
        <f t="shared" si="8"/>
        <v>1.153846153846154E-3</v>
      </c>
      <c r="L71" s="401" t="s">
        <v>1094</v>
      </c>
      <c r="M71" s="401" t="s">
        <v>1094</v>
      </c>
      <c r="N71" s="401" t="s">
        <v>1094</v>
      </c>
      <c r="O71" s="401" t="s">
        <v>1094</v>
      </c>
      <c r="P71" s="401" t="s">
        <v>1094</v>
      </c>
      <c r="Q71" s="401" t="s">
        <v>1094</v>
      </c>
      <c r="R71" s="401" t="s">
        <v>1094</v>
      </c>
      <c r="S71" s="401" t="s">
        <v>1094</v>
      </c>
      <c r="T71" s="401" t="s">
        <v>1094</v>
      </c>
      <c r="U71" s="401" t="s">
        <v>1094</v>
      </c>
      <c r="V71" s="284">
        <f t="shared" si="9"/>
        <v>0.73298076923076927</v>
      </c>
      <c r="W71" s="285"/>
      <c r="X71" s="286"/>
      <c r="Y71" s="287">
        <f t="shared" si="7"/>
        <v>150</v>
      </c>
      <c r="Z71" s="287">
        <v>2400</v>
      </c>
      <c r="AA71" s="288">
        <v>130000</v>
      </c>
      <c r="AB71" s="261">
        <f t="shared" si="10"/>
        <v>2.9843893480257115</v>
      </c>
      <c r="AC71" s="261">
        <f t="shared" si="11"/>
        <v>47.750229568411385</v>
      </c>
      <c r="AD71" s="289"/>
      <c r="AE71" s="290" t="s">
        <v>294</v>
      </c>
      <c r="AF71" s="291">
        <v>6</v>
      </c>
      <c r="AG71" s="292" t="s">
        <v>1034</v>
      </c>
      <c r="AH71" s="293" t="s">
        <v>1236</v>
      </c>
    </row>
    <row r="72" spans="1:41" s="107" customFormat="1">
      <c r="A72" s="242" t="s">
        <v>853</v>
      </c>
      <c r="B72" s="282" t="s">
        <v>819</v>
      </c>
      <c r="C72" s="121" t="s">
        <v>661</v>
      </c>
      <c r="D72" s="490" t="s">
        <v>1094</v>
      </c>
      <c r="E72" s="490" t="s">
        <v>883</v>
      </c>
      <c r="F72" s="490" t="s">
        <v>883</v>
      </c>
      <c r="G72" s="411" t="s">
        <v>1094</v>
      </c>
      <c r="H72" s="500" t="s">
        <v>1094</v>
      </c>
      <c r="I72" s="490" t="s">
        <v>883</v>
      </c>
      <c r="J72" s="490" t="s">
        <v>883</v>
      </c>
      <c r="K72" s="416">
        <f t="shared" si="8"/>
        <v>5.6249999999999998E-5</v>
      </c>
      <c r="L72" s="490" t="s">
        <v>883</v>
      </c>
      <c r="M72" s="401" t="s">
        <v>1094</v>
      </c>
      <c r="N72" s="401" t="s">
        <v>1094</v>
      </c>
      <c r="O72" s="401" t="s">
        <v>1094</v>
      </c>
      <c r="P72" s="401" t="s">
        <v>1094</v>
      </c>
      <c r="Q72" s="490" t="s">
        <v>883</v>
      </c>
      <c r="R72" s="401" t="s">
        <v>1094</v>
      </c>
      <c r="S72" s="401" t="s">
        <v>1094</v>
      </c>
      <c r="T72" s="490" t="s">
        <v>883</v>
      </c>
      <c r="U72" s="490" t="s">
        <v>883</v>
      </c>
      <c r="V72" s="284">
        <f t="shared" si="9"/>
        <v>0.19057499999999999</v>
      </c>
      <c r="W72" s="285"/>
      <c r="X72" s="286"/>
      <c r="Y72" s="287">
        <f t="shared" si="7"/>
        <v>28.125</v>
      </c>
      <c r="Z72" s="287">
        <v>450</v>
      </c>
      <c r="AA72" s="288">
        <v>500000</v>
      </c>
      <c r="AB72" s="261">
        <f t="shared" si="10"/>
        <v>11.478420569329661</v>
      </c>
      <c r="AC72" s="261">
        <f t="shared" si="11"/>
        <v>183.65472910927457</v>
      </c>
      <c r="AD72" s="289"/>
      <c r="AE72" s="290" t="s">
        <v>294</v>
      </c>
      <c r="AF72" s="291">
        <v>1</v>
      </c>
      <c r="AG72" s="292" t="s">
        <v>1035</v>
      </c>
      <c r="AH72" s="293" t="s">
        <v>1236</v>
      </c>
      <c r="AK72" s="219"/>
    </row>
    <row r="73" spans="1:41" s="107" customFormat="1">
      <c r="A73" s="242" t="s">
        <v>853</v>
      </c>
      <c r="B73" s="282" t="s">
        <v>336</v>
      </c>
      <c r="C73" s="106" t="s">
        <v>616</v>
      </c>
      <c r="D73" s="491" t="s">
        <v>1094</v>
      </c>
      <c r="E73" s="490" t="s">
        <v>883</v>
      </c>
      <c r="F73" s="490" t="s">
        <v>883</v>
      </c>
      <c r="G73" s="411" t="s">
        <v>1094</v>
      </c>
      <c r="H73" s="411" t="s">
        <v>1094</v>
      </c>
      <c r="I73" s="490" t="s">
        <v>883</v>
      </c>
      <c r="J73" s="490" t="s">
        <v>883</v>
      </c>
      <c r="K73" s="416">
        <f t="shared" si="8"/>
        <v>1.171875E-3</v>
      </c>
      <c r="L73" s="401" t="s">
        <v>1094</v>
      </c>
      <c r="M73" s="401" t="s">
        <v>1094</v>
      </c>
      <c r="N73" s="401" t="s">
        <v>1094</v>
      </c>
      <c r="O73" s="401" t="s">
        <v>1094</v>
      </c>
      <c r="P73" s="401" t="s">
        <v>1094</v>
      </c>
      <c r="Q73" s="401" t="s">
        <v>1094</v>
      </c>
      <c r="R73" s="401" t="s">
        <v>1094</v>
      </c>
      <c r="S73" s="401" t="s">
        <v>1094</v>
      </c>
      <c r="T73" s="401" t="s">
        <v>1094</v>
      </c>
      <c r="U73" s="401" t="s">
        <v>1094</v>
      </c>
      <c r="V73" s="284">
        <f t="shared" si="9"/>
        <v>2.9777343750000003</v>
      </c>
      <c r="W73" s="285"/>
      <c r="X73" s="286"/>
      <c r="Y73" s="287">
        <f t="shared" si="7"/>
        <v>37.5</v>
      </c>
      <c r="Z73" s="287">
        <v>600</v>
      </c>
      <c r="AA73" s="288">
        <v>32000</v>
      </c>
      <c r="AB73" s="261">
        <f t="shared" si="10"/>
        <v>0.7346189164370982</v>
      </c>
      <c r="AC73" s="261">
        <f t="shared" si="11"/>
        <v>11.753902662993571</v>
      </c>
      <c r="AD73" s="289"/>
      <c r="AE73" s="290" t="s">
        <v>294</v>
      </c>
      <c r="AF73" s="291">
        <v>5</v>
      </c>
      <c r="AG73" s="292" t="s">
        <v>1034</v>
      </c>
      <c r="AH73" s="293" t="s">
        <v>949</v>
      </c>
      <c r="AI73" s="219"/>
      <c r="AM73" s="219"/>
      <c r="AN73" s="219"/>
      <c r="AO73" s="219"/>
    </row>
    <row r="74" spans="1:41" s="107" customFormat="1">
      <c r="A74" s="242" t="s">
        <v>853</v>
      </c>
      <c r="B74" s="282" t="s">
        <v>337</v>
      </c>
      <c r="C74" s="121" t="s">
        <v>715</v>
      </c>
      <c r="D74" s="490" t="s">
        <v>883</v>
      </c>
      <c r="E74" s="490" t="s">
        <v>1094</v>
      </c>
      <c r="F74" s="490" t="s">
        <v>1094</v>
      </c>
      <c r="G74" s="411" t="s">
        <v>1094</v>
      </c>
      <c r="H74" s="411" t="s">
        <v>1094</v>
      </c>
      <c r="I74" s="411" t="s">
        <v>1094</v>
      </c>
      <c r="J74" s="490" t="s">
        <v>1094</v>
      </c>
      <c r="K74" s="416">
        <f t="shared" si="8"/>
        <v>3.9772727272727269E-3</v>
      </c>
      <c r="L74" s="401" t="s">
        <v>1094</v>
      </c>
      <c r="M74" s="401" t="s">
        <v>1094</v>
      </c>
      <c r="N74" s="401" t="s">
        <v>1094</v>
      </c>
      <c r="O74" s="401" t="s">
        <v>1094</v>
      </c>
      <c r="P74" s="401" t="s">
        <v>1094</v>
      </c>
      <c r="Q74" s="401" t="s">
        <v>1094</v>
      </c>
      <c r="R74" s="401" t="s">
        <v>1094</v>
      </c>
      <c r="S74" s="401" t="s">
        <v>1094</v>
      </c>
      <c r="T74" s="401" t="s">
        <v>1094</v>
      </c>
      <c r="U74" s="401" t="s">
        <v>1094</v>
      </c>
      <c r="V74" s="284">
        <f t="shared" si="9"/>
        <v>8.6624999999999996</v>
      </c>
      <c r="W74" s="285"/>
      <c r="X74" s="286"/>
      <c r="Y74" s="287">
        <f t="shared" si="7"/>
        <v>43.75</v>
      </c>
      <c r="Z74" s="287">
        <v>700</v>
      </c>
      <c r="AA74" s="288">
        <v>11000</v>
      </c>
      <c r="AB74" s="261">
        <f t="shared" si="10"/>
        <v>0.25252525252525254</v>
      </c>
      <c r="AC74" s="261">
        <f t="shared" si="11"/>
        <v>4.0404040404040407</v>
      </c>
      <c r="AD74" s="289"/>
      <c r="AE74" s="290" t="s">
        <v>294</v>
      </c>
      <c r="AF74" s="291">
        <v>6</v>
      </c>
      <c r="AG74" s="292" t="s">
        <v>1034</v>
      </c>
      <c r="AH74" s="293" t="s">
        <v>946</v>
      </c>
      <c r="AI74" s="209"/>
      <c r="AJ74" s="209"/>
      <c r="AK74" s="209"/>
      <c r="AL74" s="209"/>
      <c r="AM74" s="209"/>
      <c r="AN74" s="209"/>
      <c r="AO74" s="209"/>
    </row>
    <row r="75" spans="1:41" s="107" customFormat="1">
      <c r="A75" s="529" t="s">
        <v>853</v>
      </c>
      <c r="B75" s="530" t="s">
        <v>11235</v>
      </c>
      <c r="C75" s="545" t="s">
        <v>5602</v>
      </c>
      <c r="D75" s="547" t="s">
        <v>883</v>
      </c>
      <c r="E75" s="547" t="s">
        <v>883</v>
      </c>
      <c r="F75" s="546" t="s">
        <v>1094</v>
      </c>
      <c r="G75" s="547" t="s">
        <v>1094</v>
      </c>
      <c r="H75" s="547" t="s">
        <v>1094</v>
      </c>
      <c r="I75" s="548" t="s">
        <v>1094</v>
      </c>
      <c r="J75" s="547" t="s">
        <v>1094</v>
      </c>
      <c r="K75" s="533">
        <f t="shared" si="8"/>
        <v>8.571428571428571E-4</v>
      </c>
      <c r="L75" s="547" t="s">
        <v>883</v>
      </c>
      <c r="M75" s="547" t="s">
        <v>1094</v>
      </c>
      <c r="N75" s="547" t="s">
        <v>1094</v>
      </c>
      <c r="O75" s="547" t="s">
        <v>1094</v>
      </c>
      <c r="P75" s="533" t="s">
        <v>1094</v>
      </c>
      <c r="Q75" s="547" t="s">
        <v>883</v>
      </c>
      <c r="R75" s="547" t="s">
        <v>1094</v>
      </c>
      <c r="S75" s="547" t="s">
        <v>1094</v>
      </c>
      <c r="T75" s="547" t="s">
        <v>1094</v>
      </c>
      <c r="U75" s="547" t="s">
        <v>883</v>
      </c>
      <c r="V75" s="534">
        <f t="shared" si="9"/>
        <v>6.8062500000000004</v>
      </c>
      <c r="W75" s="549"/>
      <c r="X75" s="549"/>
      <c r="Y75" s="537">
        <v>12</v>
      </c>
      <c r="Z75" s="537">
        <v>180</v>
      </c>
      <c r="AA75" s="538">
        <v>14000</v>
      </c>
      <c r="AB75" s="516">
        <f t="shared" si="10"/>
        <v>0.32139577594123048</v>
      </c>
      <c r="AC75" s="516">
        <f t="shared" si="11"/>
        <v>5.1423324150596876</v>
      </c>
      <c r="AD75" s="530"/>
      <c r="AE75" s="540" t="s">
        <v>294</v>
      </c>
      <c r="AF75" s="541">
        <v>6</v>
      </c>
      <c r="AG75" s="542" t="s">
        <v>1034</v>
      </c>
      <c r="AH75" s="543" t="s">
        <v>946</v>
      </c>
    </row>
    <row r="76" spans="1:41" s="219" customFormat="1">
      <c r="A76" s="242" t="s">
        <v>853</v>
      </c>
      <c r="B76" s="282" t="s">
        <v>338</v>
      </c>
      <c r="C76" s="121" t="s">
        <v>677</v>
      </c>
      <c r="D76" s="490" t="s">
        <v>883</v>
      </c>
      <c r="E76" s="490" t="s">
        <v>1094</v>
      </c>
      <c r="F76" s="490" t="s">
        <v>1094</v>
      </c>
      <c r="G76" s="490" t="s">
        <v>883</v>
      </c>
      <c r="H76" s="490" t="s">
        <v>883</v>
      </c>
      <c r="I76" s="490" t="s">
        <v>883</v>
      </c>
      <c r="J76" s="411" t="s">
        <v>1094</v>
      </c>
      <c r="K76" s="416">
        <f t="shared" si="8"/>
        <v>1.3636363636363636E-2</v>
      </c>
      <c r="L76" s="401" t="s">
        <v>1094</v>
      </c>
      <c r="M76" s="401" t="s">
        <v>1094</v>
      </c>
      <c r="N76" s="401" t="s">
        <v>1094</v>
      </c>
      <c r="O76" s="401" t="s">
        <v>1094</v>
      </c>
      <c r="P76" s="401" t="s">
        <v>1094</v>
      </c>
      <c r="Q76" s="401" t="s">
        <v>1094</v>
      </c>
      <c r="R76" s="401" t="s">
        <v>1094</v>
      </c>
      <c r="S76" s="401" t="s">
        <v>1094</v>
      </c>
      <c r="T76" s="401" t="s">
        <v>1094</v>
      </c>
      <c r="U76" s="401" t="s">
        <v>1094</v>
      </c>
      <c r="V76" s="284">
        <f t="shared" si="9"/>
        <v>8.6624999999999996</v>
      </c>
      <c r="W76" s="285"/>
      <c r="X76" s="286"/>
      <c r="Y76" s="287">
        <f>SUM(Z76/16)</f>
        <v>150</v>
      </c>
      <c r="Z76" s="287">
        <v>2400</v>
      </c>
      <c r="AA76" s="288">
        <v>11000</v>
      </c>
      <c r="AB76" s="261">
        <f t="shared" si="10"/>
        <v>0.25252525252525254</v>
      </c>
      <c r="AC76" s="261">
        <f t="shared" si="11"/>
        <v>4.0404040404040407</v>
      </c>
      <c r="AD76" s="289"/>
      <c r="AE76" s="290" t="s">
        <v>525</v>
      </c>
      <c r="AF76" s="291">
        <v>5</v>
      </c>
      <c r="AG76" s="292" t="s">
        <v>1034</v>
      </c>
      <c r="AH76" s="293" t="s">
        <v>946</v>
      </c>
      <c r="AI76" s="107"/>
      <c r="AJ76" s="107"/>
      <c r="AK76" s="107"/>
      <c r="AL76" s="107"/>
      <c r="AM76" s="107"/>
      <c r="AN76" s="107"/>
      <c r="AO76" s="107"/>
    </row>
    <row r="77" spans="1:41" s="107" customFormat="1">
      <c r="A77" s="242" t="s">
        <v>853</v>
      </c>
      <c r="B77" s="282" t="s">
        <v>502</v>
      </c>
      <c r="C77" s="121" t="s">
        <v>753</v>
      </c>
      <c r="D77" s="490" t="s">
        <v>883</v>
      </c>
      <c r="E77" s="490" t="s">
        <v>1094</v>
      </c>
      <c r="F77" s="490" t="s">
        <v>883</v>
      </c>
      <c r="G77" s="490" t="s">
        <v>883</v>
      </c>
      <c r="H77" s="411" t="s">
        <v>1094</v>
      </c>
      <c r="I77" s="490" t="s">
        <v>883</v>
      </c>
      <c r="J77" s="411" t="s">
        <v>1094</v>
      </c>
      <c r="K77" s="416">
        <f t="shared" si="8"/>
        <v>3.7499999999999999E-2</v>
      </c>
      <c r="L77" s="401" t="s">
        <v>1094</v>
      </c>
      <c r="M77" s="401" t="s">
        <v>1094</v>
      </c>
      <c r="N77" s="401" t="s">
        <v>1094</v>
      </c>
      <c r="O77" s="401" t="s">
        <v>1094</v>
      </c>
      <c r="P77" s="401" t="s">
        <v>1094</v>
      </c>
      <c r="Q77" s="401" t="s">
        <v>1094</v>
      </c>
      <c r="R77" s="401" t="s">
        <v>1094</v>
      </c>
      <c r="S77" s="401" t="s">
        <v>1094</v>
      </c>
      <c r="T77" s="401" t="s">
        <v>1094</v>
      </c>
      <c r="U77" s="401" t="s">
        <v>1094</v>
      </c>
      <c r="V77" s="284">
        <f t="shared" si="9"/>
        <v>238.21875</v>
      </c>
      <c r="W77" s="285"/>
      <c r="X77" s="286"/>
      <c r="Y77" s="287">
        <v>15</v>
      </c>
      <c r="Z77" s="287">
        <v>225</v>
      </c>
      <c r="AA77" s="288">
        <v>400</v>
      </c>
      <c r="AB77" s="261">
        <f t="shared" si="10"/>
        <v>9.1827364554637279E-3</v>
      </c>
      <c r="AC77" s="261">
        <f t="shared" si="11"/>
        <v>0.14692378328741965</v>
      </c>
      <c r="AD77" s="289"/>
      <c r="AE77" s="290" t="s">
        <v>525</v>
      </c>
      <c r="AF77" s="291">
        <v>4</v>
      </c>
      <c r="AG77" s="292" t="s">
        <v>1034</v>
      </c>
      <c r="AH77" s="293" t="s">
        <v>972</v>
      </c>
      <c r="AI77" s="209"/>
      <c r="AJ77" s="209"/>
      <c r="AK77" s="209"/>
      <c r="AL77" s="209"/>
      <c r="AM77" s="209"/>
      <c r="AN77" s="209"/>
      <c r="AO77" s="209"/>
    </row>
    <row r="78" spans="1:41" s="107" customFormat="1">
      <c r="A78" s="242" t="s">
        <v>853</v>
      </c>
      <c r="B78" s="282" t="s">
        <v>339</v>
      </c>
      <c r="C78" s="121" t="s">
        <v>709</v>
      </c>
      <c r="D78" s="490" t="s">
        <v>883</v>
      </c>
      <c r="E78" s="490" t="s">
        <v>1094</v>
      </c>
      <c r="F78" s="490" t="s">
        <v>883</v>
      </c>
      <c r="G78" s="411" t="s">
        <v>1094</v>
      </c>
      <c r="H78" s="490" t="s">
        <v>1094</v>
      </c>
      <c r="I78" s="490" t="s">
        <v>883</v>
      </c>
      <c r="J78" s="490" t="s">
        <v>883</v>
      </c>
      <c r="K78" s="416">
        <f t="shared" si="8"/>
        <v>1.3392857142857143E-3</v>
      </c>
      <c r="L78" s="490" t="s">
        <v>883</v>
      </c>
      <c r="M78" s="401" t="s">
        <v>1094</v>
      </c>
      <c r="N78" s="401" t="s">
        <v>1094</v>
      </c>
      <c r="O78" s="401" t="s">
        <v>1094</v>
      </c>
      <c r="P78" s="401" t="s">
        <v>1094</v>
      </c>
      <c r="Q78" s="490" t="s">
        <v>883</v>
      </c>
      <c r="R78" s="401" t="s">
        <v>1094</v>
      </c>
      <c r="S78" s="401" t="s">
        <v>1094</v>
      </c>
      <c r="T78" s="490" t="s">
        <v>883</v>
      </c>
      <c r="U78" s="490" t="s">
        <v>883</v>
      </c>
      <c r="V78" s="284">
        <f t="shared" si="9"/>
        <v>13.612500000000001</v>
      </c>
      <c r="W78" s="285"/>
      <c r="X78" s="286"/>
      <c r="Y78" s="287">
        <f t="shared" ref="Y78:Y92" si="12">SUM(Z78/16)</f>
        <v>9.375</v>
      </c>
      <c r="Z78" s="287">
        <v>150</v>
      </c>
      <c r="AA78" s="288">
        <v>7000</v>
      </c>
      <c r="AB78" s="261">
        <f t="shared" si="10"/>
        <v>0.16069788797061524</v>
      </c>
      <c r="AC78" s="261">
        <f t="shared" si="11"/>
        <v>2.5711662075298438</v>
      </c>
      <c r="AD78" s="289"/>
      <c r="AE78" s="290" t="s">
        <v>294</v>
      </c>
      <c r="AF78" s="291">
        <v>9</v>
      </c>
      <c r="AG78" s="292" t="s">
        <v>1034</v>
      </c>
      <c r="AH78" s="293" t="s">
        <v>946</v>
      </c>
      <c r="AI78" s="209"/>
      <c r="AJ78" s="209"/>
      <c r="AK78" s="209"/>
      <c r="AL78" s="209"/>
      <c r="AM78" s="209"/>
      <c r="AN78" s="209"/>
      <c r="AO78" s="209"/>
    </row>
    <row r="79" spans="1:41" s="107" customFormat="1">
      <c r="A79" s="242" t="s">
        <v>853</v>
      </c>
      <c r="B79" s="282" t="s">
        <v>340</v>
      </c>
      <c r="C79" s="121" t="s">
        <v>757</v>
      </c>
      <c r="D79" s="490" t="s">
        <v>1094</v>
      </c>
      <c r="E79" s="490" t="s">
        <v>1094</v>
      </c>
      <c r="F79" s="490" t="s">
        <v>883</v>
      </c>
      <c r="G79" s="411" t="s">
        <v>1094</v>
      </c>
      <c r="H79" s="411" t="s">
        <v>1094</v>
      </c>
      <c r="I79" s="490" t="s">
        <v>883</v>
      </c>
      <c r="J79" s="490" t="s">
        <v>883</v>
      </c>
      <c r="K79" s="416">
        <f t="shared" si="8"/>
        <v>1.25E-4</v>
      </c>
      <c r="L79" s="401" t="s">
        <v>1094</v>
      </c>
      <c r="M79" s="401" t="s">
        <v>1094</v>
      </c>
      <c r="N79" s="401" t="s">
        <v>1094</v>
      </c>
      <c r="O79" s="401" t="s">
        <v>1094</v>
      </c>
      <c r="P79" s="401" t="s">
        <v>1094</v>
      </c>
      <c r="Q79" s="401" t="s">
        <v>1094</v>
      </c>
      <c r="R79" s="401" t="s">
        <v>1094</v>
      </c>
      <c r="S79" s="401" t="s">
        <v>1094</v>
      </c>
      <c r="T79" s="401" t="s">
        <v>1094</v>
      </c>
      <c r="U79" s="401" t="s">
        <v>1094</v>
      </c>
      <c r="V79" s="284">
        <f t="shared" si="9"/>
        <v>0.31762499999999999</v>
      </c>
      <c r="W79" s="285"/>
      <c r="X79" s="286"/>
      <c r="Y79" s="287">
        <f t="shared" si="12"/>
        <v>37.5</v>
      </c>
      <c r="Z79" s="287">
        <v>600</v>
      </c>
      <c r="AA79" s="288">
        <v>300000</v>
      </c>
      <c r="AB79" s="261">
        <f t="shared" si="10"/>
        <v>6.887052341597796</v>
      </c>
      <c r="AC79" s="261">
        <f t="shared" si="11"/>
        <v>110.19283746556474</v>
      </c>
      <c r="AD79" s="289"/>
      <c r="AE79" s="290" t="s">
        <v>294</v>
      </c>
      <c r="AF79" s="291">
        <v>4</v>
      </c>
      <c r="AG79" s="292" t="s">
        <v>1034</v>
      </c>
      <c r="AH79" s="293" t="s">
        <v>1236</v>
      </c>
    </row>
    <row r="80" spans="1:41" s="219" customFormat="1">
      <c r="A80" s="242" t="s">
        <v>853</v>
      </c>
      <c r="B80" s="282" t="s">
        <v>341</v>
      </c>
      <c r="C80" s="106" t="s">
        <v>614</v>
      </c>
      <c r="D80" s="490" t="s">
        <v>1094</v>
      </c>
      <c r="E80" s="491" t="s">
        <v>883</v>
      </c>
      <c r="F80" s="490" t="s">
        <v>883</v>
      </c>
      <c r="G80" s="412" t="s">
        <v>1094</v>
      </c>
      <c r="H80" s="412" t="s">
        <v>1094</v>
      </c>
      <c r="I80" s="490" t="s">
        <v>883</v>
      </c>
      <c r="J80" s="490" t="s">
        <v>883</v>
      </c>
      <c r="K80" s="416">
        <f t="shared" si="8"/>
        <v>4.5000000000000003E-5</v>
      </c>
      <c r="L80" s="401" t="s">
        <v>1094</v>
      </c>
      <c r="M80" s="401" t="s">
        <v>1094</v>
      </c>
      <c r="N80" s="401" t="s">
        <v>1094</v>
      </c>
      <c r="O80" s="401" t="s">
        <v>1094</v>
      </c>
      <c r="P80" s="401" t="s">
        <v>1094</v>
      </c>
      <c r="Q80" s="401" t="s">
        <v>1094</v>
      </c>
      <c r="R80" s="401" t="s">
        <v>1094</v>
      </c>
      <c r="S80" s="401" t="s">
        <v>1094</v>
      </c>
      <c r="T80" s="401" t="s">
        <v>1094</v>
      </c>
      <c r="U80" s="401" t="s">
        <v>1094</v>
      </c>
      <c r="V80" s="284">
        <f t="shared" si="9"/>
        <v>0.38114999999999999</v>
      </c>
      <c r="W80" s="285"/>
      <c r="X80" s="286"/>
      <c r="Y80" s="287">
        <f t="shared" si="12"/>
        <v>11.25</v>
      </c>
      <c r="Z80" s="287">
        <v>180</v>
      </c>
      <c r="AA80" s="288">
        <v>250000</v>
      </c>
      <c r="AB80" s="261">
        <f t="shared" si="10"/>
        <v>5.7392102846648303</v>
      </c>
      <c r="AC80" s="261">
        <f t="shared" si="11"/>
        <v>91.827364554637285</v>
      </c>
      <c r="AD80" s="289"/>
      <c r="AE80" s="290" t="s">
        <v>294</v>
      </c>
      <c r="AF80" s="291">
        <v>4</v>
      </c>
      <c r="AG80" s="292" t="s">
        <v>1035</v>
      </c>
      <c r="AH80" s="293"/>
      <c r="AI80" s="107"/>
      <c r="AJ80" s="107"/>
      <c r="AK80" s="107"/>
      <c r="AL80" s="107"/>
      <c r="AM80" s="107"/>
      <c r="AN80" s="107"/>
      <c r="AO80" s="107"/>
    </row>
    <row r="81" spans="1:41" s="209" customFormat="1">
      <c r="A81" s="242" t="s">
        <v>853</v>
      </c>
      <c r="B81" s="282" t="s">
        <v>817</v>
      </c>
      <c r="C81" s="121" t="s">
        <v>642</v>
      </c>
      <c r="D81" s="490" t="s">
        <v>883</v>
      </c>
      <c r="E81" s="490" t="s">
        <v>1094</v>
      </c>
      <c r="F81" s="490" t="s">
        <v>883</v>
      </c>
      <c r="G81" s="411" t="s">
        <v>1094</v>
      </c>
      <c r="H81" s="411" t="s">
        <v>1094</v>
      </c>
      <c r="I81" s="490" t="s">
        <v>883</v>
      </c>
      <c r="J81" s="490" t="s">
        <v>883</v>
      </c>
      <c r="K81" s="416">
        <f t="shared" si="8"/>
        <v>2.9999999999999997E-4</v>
      </c>
      <c r="L81" s="490" t="s">
        <v>883</v>
      </c>
      <c r="M81" s="401" t="s">
        <v>1094</v>
      </c>
      <c r="N81" s="490" t="s">
        <v>883</v>
      </c>
      <c r="O81" s="401" t="s">
        <v>1094</v>
      </c>
      <c r="P81" s="401" t="s">
        <v>1094</v>
      </c>
      <c r="Q81" s="490" t="s">
        <v>883</v>
      </c>
      <c r="R81" s="490" t="s">
        <v>883</v>
      </c>
      <c r="S81" s="490" t="s">
        <v>883</v>
      </c>
      <c r="T81" s="490" t="s">
        <v>883</v>
      </c>
      <c r="U81" s="490" t="s">
        <v>883</v>
      </c>
      <c r="V81" s="284">
        <f t="shared" si="9"/>
        <v>0.19057499999999999</v>
      </c>
      <c r="W81" s="285"/>
      <c r="X81" s="286"/>
      <c r="Y81" s="287">
        <f t="shared" si="12"/>
        <v>150</v>
      </c>
      <c r="Z81" s="287">
        <v>2400</v>
      </c>
      <c r="AA81" s="288">
        <v>500000</v>
      </c>
      <c r="AB81" s="261">
        <f t="shared" si="10"/>
        <v>11.478420569329661</v>
      </c>
      <c r="AC81" s="261">
        <f t="shared" si="11"/>
        <v>183.65472910927457</v>
      </c>
      <c r="AD81" s="289"/>
      <c r="AE81" s="290" t="s">
        <v>863</v>
      </c>
      <c r="AF81" s="291">
        <v>1</v>
      </c>
      <c r="AG81" s="292" t="s">
        <v>1034</v>
      </c>
      <c r="AH81" s="293" t="s">
        <v>1236</v>
      </c>
      <c r="AI81" s="107"/>
      <c r="AJ81" s="107"/>
      <c r="AK81" s="107"/>
      <c r="AL81" s="107"/>
      <c r="AM81" s="107"/>
      <c r="AN81" s="107"/>
      <c r="AO81" s="107"/>
    </row>
    <row r="82" spans="1:41" s="107" customFormat="1">
      <c r="A82" s="242" t="s">
        <v>853</v>
      </c>
      <c r="B82" s="282" t="s">
        <v>342</v>
      </c>
      <c r="C82" s="121" t="s">
        <v>524</v>
      </c>
      <c r="D82" s="490" t="s">
        <v>883</v>
      </c>
      <c r="E82" s="490" t="s">
        <v>883</v>
      </c>
      <c r="F82" s="490" t="s">
        <v>1094</v>
      </c>
      <c r="G82" s="411" t="s">
        <v>1094</v>
      </c>
      <c r="H82" s="411" t="s">
        <v>1094</v>
      </c>
      <c r="I82" s="411" t="s">
        <v>1094</v>
      </c>
      <c r="J82" s="490" t="s">
        <v>883</v>
      </c>
      <c r="K82" s="416">
        <f t="shared" si="8"/>
        <v>4.1977611940298507E-4</v>
      </c>
      <c r="L82" s="401" t="s">
        <v>1094</v>
      </c>
      <c r="M82" s="401" t="s">
        <v>1094</v>
      </c>
      <c r="N82" s="401" t="s">
        <v>1094</v>
      </c>
      <c r="O82" s="401" t="s">
        <v>1094</v>
      </c>
      <c r="P82" s="401" t="s">
        <v>1094</v>
      </c>
      <c r="Q82" s="401" t="s">
        <v>1094</v>
      </c>
      <c r="R82" s="401" t="s">
        <v>1094</v>
      </c>
      <c r="S82" s="401" t="s">
        <v>1094</v>
      </c>
      <c r="T82" s="401" t="s">
        <v>1094</v>
      </c>
      <c r="U82" s="401" t="s">
        <v>1094</v>
      </c>
      <c r="V82" s="284">
        <f t="shared" si="9"/>
        <v>1.4222014925373134</v>
      </c>
      <c r="W82" s="285"/>
      <c r="X82" s="286"/>
      <c r="Y82" s="287">
        <f t="shared" si="12"/>
        <v>28.125</v>
      </c>
      <c r="Z82" s="287">
        <v>450</v>
      </c>
      <c r="AA82" s="288">
        <v>67000</v>
      </c>
      <c r="AB82" s="261">
        <f t="shared" si="10"/>
        <v>1.5381083562901745</v>
      </c>
      <c r="AC82" s="261">
        <f t="shared" si="11"/>
        <v>24.609733700642792</v>
      </c>
      <c r="AD82" s="289"/>
      <c r="AE82" s="290" t="s">
        <v>294</v>
      </c>
      <c r="AF82" s="291">
        <v>6</v>
      </c>
      <c r="AG82" s="292" t="s">
        <v>1034</v>
      </c>
      <c r="AH82" s="293" t="s">
        <v>946</v>
      </c>
    </row>
    <row r="83" spans="1:41" s="107" customFormat="1">
      <c r="A83" s="242" t="s">
        <v>853</v>
      </c>
      <c r="B83" s="282" t="s">
        <v>343</v>
      </c>
      <c r="C83" s="121" t="s">
        <v>649</v>
      </c>
      <c r="D83" s="490" t="s">
        <v>1094</v>
      </c>
      <c r="E83" s="490" t="s">
        <v>1094</v>
      </c>
      <c r="F83" s="490" t="s">
        <v>883</v>
      </c>
      <c r="G83" s="411" t="s">
        <v>1094</v>
      </c>
      <c r="H83" s="411" t="s">
        <v>1094</v>
      </c>
      <c r="I83" s="490" t="s">
        <v>883</v>
      </c>
      <c r="J83" s="490" t="s">
        <v>883</v>
      </c>
      <c r="K83" s="416">
        <f t="shared" si="8"/>
        <v>5.859375E-3</v>
      </c>
      <c r="L83" s="401" t="s">
        <v>1094</v>
      </c>
      <c r="M83" s="401" t="s">
        <v>1094</v>
      </c>
      <c r="N83" s="401" t="s">
        <v>1094</v>
      </c>
      <c r="O83" s="401" t="s">
        <v>1094</v>
      </c>
      <c r="P83" s="401" t="s">
        <v>1094</v>
      </c>
      <c r="Q83" s="401" t="s">
        <v>1094</v>
      </c>
      <c r="R83" s="401" t="s">
        <v>1094</v>
      </c>
      <c r="S83" s="401" t="s">
        <v>1094</v>
      </c>
      <c r="T83" s="401" t="s">
        <v>1094</v>
      </c>
      <c r="U83" s="401" t="s">
        <v>1094</v>
      </c>
      <c r="V83" s="284">
        <f t="shared" si="9"/>
        <v>11.910937500000001</v>
      </c>
      <c r="W83" s="285"/>
      <c r="X83" s="286"/>
      <c r="Y83" s="287">
        <f t="shared" si="12"/>
        <v>46.875</v>
      </c>
      <c r="Z83" s="287">
        <v>750</v>
      </c>
      <c r="AA83" s="288">
        <v>8000</v>
      </c>
      <c r="AB83" s="261">
        <f t="shared" si="10"/>
        <v>0.18365472910927455</v>
      </c>
      <c r="AC83" s="261">
        <f t="shared" si="11"/>
        <v>2.9384756657483928</v>
      </c>
      <c r="AD83" s="289"/>
      <c r="AE83" s="290" t="s">
        <v>863</v>
      </c>
      <c r="AF83" s="291">
        <v>3</v>
      </c>
      <c r="AG83" s="292" t="s">
        <v>1034</v>
      </c>
      <c r="AH83" s="293" t="s">
        <v>973</v>
      </c>
    </row>
    <row r="84" spans="1:41" s="209" customFormat="1">
      <c r="A84" s="242" t="s">
        <v>853</v>
      </c>
      <c r="B84" s="282" t="s">
        <v>344</v>
      </c>
      <c r="C84" s="108" t="s">
        <v>231</v>
      </c>
      <c r="D84" s="490" t="s">
        <v>883</v>
      </c>
      <c r="E84" s="499" t="s">
        <v>1094</v>
      </c>
      <c r="F84" s="494" t="s">
        <v>883</v>
      </c>
      <c r="G84" s="411" t="s">
        <v>1094</v>
      </c>
      <c r="H84" s="411" t="s">
        <v>1094</v>
      </c>
      <c r="I84" s="415" t="s">
        <v>883</v>
      </c>
      <c r="J84" s="415" t="s">
        <v>883</v>
      </c>
      <c r="K84" s="416">
        <f t="shared" si="8"/>
        <v>7.2115384615384622E-5</v>
      </c>
      <c r="L84" s="490" t="s">
        <v>883</v>
      </c>
      <c r="M84" s="401" t="s">
        <v>1094</v>
      </c>
      <c r="N84" s="401" t="s">
        <v>1094</v>
      </c>
      <c r="O84" s="490" t="s">
        <v>883</v>
      </c>
      <c r="P84" s="401" t="s">
        <v>1094</v>
      </c>
      <c r="Q84" s="490" t="s">
        <v>883</v>
      </c>
      <c r="R84" s="401" t="s">
        <v>1094</v>
      </c>
      <c r="S84" s="401" t="s">
        <v>1094</v>
      </c>
      <c r="T84" s="401" t="s">
        <v>1094</v>
      </c>
      <c r="U84" s="490" t="s">
        <v>883</v>
      </c>
      <c r="V84" s="284">
        <f t="shared" si="9"/>
        <v>0.73298076923076927</v>
      </c>
      <c r="W84" s="299"/>
      <c r="X84" s="279"/>
      <c r="Y84" s="287">
        <f t="shared" si="12"/>
        <v>9.375</v>
      </c>
      <c r="Z84" s="287">
        <v>150</v>
      </c>
      <c r="AA84" s="288">
        <v>130000</v>
      </c>
      <c r="AB84" s="261">
        <f t="shared" si="10"/>
        <v>2.9843893480257115</v>
      </c>
      <c r="AC84" s="261">
        <f t="shared" si="11"/>
        <v>47.750229568411385</v>
      </c>
      <c r="AD84" s="297"/>
      <c r="AE84" s="290" t="s">
        <v>863</v>
      </c>
      <c r="AF84" s="291">
        <v>4</v>
      </c>
      <c r="AG84" s="292" t="s">
        <v>1034</v>
      </c>
      <c r="AH84" s="293" t="s">
        <v>974</v>
      </c>
    </row>
    <row r="85" spans="1:41" s="209" customFormat="1">
      <c r="A85" s="242" t="s">
        <v>853</v>
      </c>
      <c r="B85" s="282" t="s">
        <v>345</v>
      </c>
      <c r="C85" s="121" t="s">
        <v>736</v>
      </c>
      <c r="D85" s="490" t="s">
        <v>883</v>
      </c>
      <c r="E85" s="490" t="s">
        <v>883</v>
      </c>
      <c r="F85" s="490" t="s">
        <v>1094</v>
      </c>
      <c r="G85" s="411" t="s">
        <v>1094</v>
      </c>
      <c r="H85" s="411" t="s">
        <v>1094</v>
      </c>
      <c r="I85" s="411" t="s">
        <v>1094</v>
      </c>
      <c r="J85" s="490" t="s">
        <v>883</v>
      </c>
      <c r="K85" s="416">
        <f t="shared" si="8"/>
        <v>3.4594095940959407E-4</v>
      </c>
      <c r="L85" s="490" t="s">
        <v>883</v>
      </c>
      <c r="M85" s="401" t="s">
        <v>1094</v>
      </c>
      <c r="N85" s="401" t="s">
        <v>1094</v>
      </c>
      <c r="O85" s="401" t="s">
        <v>1094</v>
      </c>
      <c r="P85" s="401" t="s">
        <v>1094</v>
      </c>
      <c r="Q85" s="490" t="s">
        <v>883</v>
      </c>
      <c r="R85" s="401" t="s">
        <v>1094</v>
      </c>
      <c r="S85" s="401" t="s">
        <v>1094</v>
      </c>
      <c r="T85" s="401" t="s">
        <v>1094</v>
      </c>
      <c r="U85" s="490" t="s">
        <v>883</v>
      </c>
      <c r="V85" s="284">
        <f t="shared" si="9"/>
        <v>3.516143911439114</v>
      </c>
      <c r="W85" s="299"/>
      <c r="X85" s="279"/>
      <c r="Y85" s="287">
        <f t="shared" si="12"/>
        <v>9.375</v>
      </c>
      <c r="Z85" s="287">
        <v>150</v>
      </c>
      <c r="AA85" s="288">
        <v>27100</v>
      </c>
      <c r="AB85" s="261">
        <f t="shared" si="10"/>
        <v>0.62213039485766763</v>
      </c>
      <c r="AC85" s="261">
        <f t="shared" si="11"/>
        <v>9.9540863177226822</v>
      </c>
      <c r="AD85" s="297"/>
      <c r="AE85" s="290" t="s">
        <v>294</v>
      </c>
      <c r="AF85" s="291">
        <v>4</v>
      </c>
      <c r="AG85" s="292" t="s">
        <v>1034</v>
      </c>
      <c r="AH85" s="293" t="s">
        <v>1238</v>
      </c>
      <c r="AI85" s="107"/>
      <c r="AJ85" s="107"/>
      <c r="AK85" s="107"/>
      <c r="AL85" s="107"/>
      <c r="AM85" s="107"/>
      <c r="AN85" s="107"/>
      <c r="AO85" s="107"/>
    </row>
    <row r="86" spans="1:41" s="107" customFormat="1">
      <c r="A86" s="242" t="s">
        <v>853</v>
      </c>
      <c r="B86" s="297" t="s">
        <v>1244</v>
      </c>
      <c r="C86" s="214" t="s">
        <v>245</v>
      </c>
      <c r="D86" s="490" t="s">
        <v>883</v>
      </c>
      <c r="E86" s="497" t="s">
        <v>1094</v>
      </c>
      <c r="F86" s="490" t="s">
        <v>883</v>
      </c>
      <c r="G86" s="490" t="s">
        <v>883</v>
      </c>
      <c r="H86" s="411" t="s">
        <v>1094</v>
      </c>
      <c r="I86" s="490" t="s">
        <v>883</v>
      </c>
      <c r="J86" s="411" t="s">
        <v>1094</v>
      </c>
      <c r="K86" s="416">
        <f t="shared" si="8"/>
        <v>2.34375E-2</v>
      </c>
      <c r="L86" s="490" t="s">
        <v>883</v>
      </c>
      <c r="M86" s="490" t="s">
        <v>883</v>
      </c>
      <c r="N86" s="490" t="s">
        <v>883</v>
      </c>
      <c r="O86" s="490" t="s">
        <v>883</v>
      </c>
      <c r="P86" s="490" t="s">
        <v>883</v>
      </c>
      <c r="Q86" s="490" t="s">
        <v>883</v>
      </c>
      <c r="R86" s="490" t="s">
        <v>883</v>
      </c>
      <c r="S86" s="401" t="s">
        <v>1094</v>
      </c>
      <c r="T86" s="490" t="s">
        <v>883</v>
      </c>
      <c r="U86" s="490" t="s">
        <v>883</v>
      </c>
      <c r="V86" s="284">
        <f t="shared" si="9"/>
        <v>79.40625</v>
      </c>
      <c r="W86" s="279"/>
      <c r="X86" s="279"/>
      <c r="Y86" s="287">
        <f t="shared" si="12"/>
        <v>28.125</v>
      </c>
      <c r="Z86" s="287">
        <v>450</v>
      </c>
      <c r="AA86" s="295">
        <v>1200</v>
      </c>
      <c r="AB86" s="261">
        <f t="shared" si="10"/>
        <v>2.7548209366391185E-2</v>
      </c>
      <c r="AC86" s="261">
        <f t="shared" si="11"/>
        <v>0.44077134986225897</v>
      </c>
      <c r="AD86" s="297"/>
      <c r="AE86" s="446" t="s">
        <v>863</v>
      </c>
      <c r="AF86" s="296">
        <v>6</v>
      </c>
      <c r="AG86" s="298" t="s">
        <v>1037</v>
      </c>
      <c r="AH86" s="377" t="s">
        <v>11277</v>
      </c>
      <c r="AI86" s="209"/>
      <c r="AJ86" s="209"/>
      <c r="AK86" s="209"/>
      <c r="AL86" s="209"/>
      <c r="AM86" s="209"/>
      <c r="AN86" s="209"/>
      <c r="AO86" s="209"/>
    </row>
    <row r="87" spans="1:41" s="107" customFormat="1">
      <c r="A87" s="242" t="s">
        <v>853</v>
      </c>
      <c r="B87" s="282" t="s">
        <v>346</v>
      </c>
      <c r="C87" s="121" t="s">
        <v>1075</v>
      </c>
      <c r="D87" s="490" t="s">
        <v>883</v>
      </c>
      <c r="E87" s="490" t="s">
        <v>1094</v>
      </c>
      <c r="F87" s="490" t="s">
        <v>1094</v>
      </c>
      <c r="G87" s="411" t="s">
        <v>1094</v>
      </c>
      <c r="H87" s="490" t="s">
        <v>1094</v>
      </c>
      <c r="I87" s="411" t="s">
        <v>1094</v>
      </c>
      <c r="J87" s="490" t="s">
        <v>883</v>
      </c>
      <c r="K87" s="416">
        <f t="shared" si="8"/>
        <v>7.9062499999999999E-4</v>
      </c>
      <c r="L87" s="490" t="s">
        <v>883</v>
      </c>
      <c r="M87" s="401" t="s">
        <v>1094</v>
      </c>
      <c r="N87" s="490" t="s">
        <v>883</v>
      </c>
      <c r="O87" s="401" t="s">
        <v>1094</v>
      </c>
      <c r="P87" s="401" t="s">
        <v>1094</v>
      </c>
      <c r="Q87" s="401" t="s">
        <v>1094</v>
      </c>
      <c r="R87" s="490" t="s">
        <v>883</v>
      </c>
      <c r="S87" s="490" t="s">
        <v>883</v>
      </c>
      <c r="T87" s="490" t="s">
        <v>883</v>
      </c>
      <c r="U87" s="490" t="s">
        <v>883</v>
      </c>
      <c r="V87" s="284">
        <f t="shared" si="9"/>
        <v>0.47643750000000001</v>
      </c>
      <c r="W87" s="299"/>
      <c r="X87" s="279"/>
      <c r="Y87" s="287">
        <f t="shared" si="12"/>
        <v>158.125</v>
      </c>
      <c r="Z87" s="287">
        <v>2530</v>
      </c>
      <c r="AA87" s="288">
        <v>200000</v>
      </c>
      <c r="AB87" s="261">
        <f t="shared" si="10"/>
        <v>4.5913682277318637</v>
      </c>
      <c r="AC87" s="261">
        <f t="shared" si="11"/>
        <v>73.461891643709819</v>
      </c>
      <c r="AD87" s="297"/>
      <c r="AE87" s="290" t="s">
        <v>294</v>
      </c>
      <c r="AF87" s="291">
        <v>8</v>
      </c>
      <c r="AG87" s="292" t="s">
        <v>1035</v>
      </c>
      <c r="AH87" s="293" t="s">
        <v>1236</v>
      </c>
    </row>
    <row r="88" spans="1:41" s="107" customFormat="1">
      <c r="A88" s="242" t="s">
        <v>853</v>
      </c>
      <c r="B88" s="282" t="s">
        <v>1076</v>
      </c>
      <c r="C88" s="121" t="s">
        <v>693</v>
      </c>
      <c r="D88" s="490" t="s">
        <v>883</v>
      </c>
      <c r="E88" s="490" t="s">
        <v>883</v>
      </c>
      <c r="F88" s="490" t="s">
        <v>1094</v>
      </c>
      <c r="G88" s="411" t="s">
        <v>1094</v>
      </c>
      <c r="H88" s="411" t="s">
        <v>1094</v>
      </c>
      <c r="I88" s="411" t="s">
        <v>1094</v>
      </c>
      <c r="J88" s="411" t="s">
        <v>1094</v>
      </c>
      <c r="K88" s="416">
        <f t="shared" si="8"/>
        <v>2.5641025641025641E-3</v>
      </c>
      <c r="L88" s="401" t="s">
        <v>1094</v>
      </c>
      <c r="M88" s="401" t="s">
        <v>1094</v>
      </c>
      <c r="N88" s="401" t="s">
        <v>1094</v>
      </c>
      <c r="O88" s="401" t="s">
        <v>1094</v>
      </c>
      <c r="P88" s="401" t="s">
        <v>1094</v>
      </c>
      <c r="Q88" s="401" t="s">
        <v>1094</v>
      </c>
      <c r="R88" s="401" t="s">
        <v>1094</v>
      </c>
      <c r="S88" s="401" t="s">
        <v>1094</v>
      </c>
      <c r="T88" s="401" t="s">
        <v>1094</v>
      </c>
      <c r="U88" s="401" t="s">
        <v>1094</v>
      </c>
      <c r="V88" s="284">
        <f t="shared" si="9"/>
        <v>2.4432692307692307</v>
      </c>
      <c r="W88" s="299"/>
      <c r="X88" s="279"/>
      <c r="Y88" s="287">
        <f t="shared" si="12"/>
        <v>100</v>
      </c>
      <c r="Z88" s="287">
        <v>1600</v>
      </c>
      <c r="AA88" s="288">
        <v>39000</v>
      </c>
      <c r="AB88" s="261">
        <f t="shared" si="10"/>
        <v>0.89531680440771355</v>
      </c>
      <c r="AC88" s="261">
        <f t="shared" si="11"/>
        <v>14.325068870523417</v>
      </c>
      <c r="AD88" s="297"/>
      <c r="AE88" s="290" t="s">
        <v>863</v>
      </c>
      <c r="AF88" s="291">
        <v>4</v>
      </c>
      <c r="AG88" s="292" t="s">
        <v>1034</v>
      </c>
      <c r="AH88" s="293" t="s">
        <v>946</v>
      </c>
    </row>
    <row r="89" spans="1:41" s="107" customFormat="1">
      <c r="A89" s="242" t="s">
        <v>853</v>
      </c>
      <c r="B89" s="281" t="s">
        <v>1304</v>
      </c>
      <c r="C89" s="121" t="s">
        <v>1293</v>
      </c>
      <c r="D89" s="490" t="s">
        <v>883</v>
      </c>
      <c r="E89" s="490" t="s">
        <v>883</v>
      </c>
      <c r="F89" s="490" t="s">
        <v>1094</v>
      </c>
      <c r="G89" s="411" t="s">
        <v>1094</v>
      </c>
      <c r="H89" s="411" t="s">
        <v>1094</v>
      </c>
      <c r="I89" s="411" t="s">
        <v>1094</v>
      </c>
      <c r="J89" s="490" t="s">
        <v>883</v>
      </c>
      <c r="K89" s="416">
        <f t="shared" si="8"/>
        <v>1.9736842105263158E-5</v>
      </c>
      <c r="L89" s="401" t="s">
        <v>1094</v>
      </c>
      <c r="M89" s="401" t="s">
        <v>1094</v>
      </c>
      <c r="N89" s="401" t="s">
        <v>1094</v>
      </c>
      <c r="O89" s="401" t="s">
        <v>1094</v>
      </c>
      <c r="P89" s="401" t="s">
        <v>1094</v>
      </c>
      <c r="Q89" s="401" t="s">
        <v>1094</v>
      </c>
      <c r="R89" s="401" t="s">
        <v>1094</v>
      </c>
      <c r="S89" s="401" t="s">
        <v>1094</v>
      </c>
      <c r="T89" s="401" t="s">
        <v>1094</v>
      </c>
      <c r="U89" s="401" t="s">
        <v>1094</v>
      </c>
      <c r="V89" s="284">
        <f t="shared" si="9"/>
        <v>0.50151315789473683</v>
      </c>
      <c r="W89" s="299"/>
      <c r="X89" s="279"/>
      <c r="Y89" s="287">
        <f t="shared" si="12"/>
        <v>3.75</v>
      </c>
      <c r="Z89" s="287">
        <v>60</v>
      </c>
      <c r="AA89" s="288">
        <v>190000</v>
      </c>
      <c r="AB89" s="261">
        <f t="shared" si="10"/>
        <v>4.3617998163452709</v>
      </c>
      <c r="AC89" s="261">
        <f t="shared" si="11"/>
        <v>69.788797061524335</v>
      </c>
      <c r="AD89" s="297"/>
      <c r="AE89" s="290" t="s">
        <v>863</v>
      </c>
      <c r="AF89" s="291">
        <v>6</v>
      </c>
      <c r="AG89" s="292" t="s">
        <v>1034</v>
      </c>
      <c r="AH89" s="293" t="s">
        <v>958</v>
      </c>
      <c r="AI89" s="209"/>
      <c r="AJ89" s="209"/>
      <c r="AK89" s="209"/>
      <c r="AL89" s="209"/>
      <c r="AM89" s="209"/>
      <c r="AN89" s="209"/>
      <c r="AO89" s="209"/>
    </row>
    <row r="90" spans="1:41" s="107" customFormat="1">
      <c r="A90" s="242" t="s">
        <v>853</v>
      </c>
      <c r="B90" s="282" t="s">
        <v>347</v>
      </c>
      <c r="C90" s="121" t="s">
        <v>703</v>
      </c>
      <c r="D90" s="490" t="s">
        <v>883</v>
      </c>
      <c r="E90" s="490" t="s">
        <v>883</v>
      </c>
      <c r="F90" s="490" t="s">
        <v>1094</v>
      </c>
      <c r="G90" s="411" t="s">
        <v>883</v>
      </c>
      <c r="H90" s="411" t="s">
        <v>1094</v>
      </c>
      <c r="I90" s="490" t="s">
        <v>883</v>
      </c>
      <c r="J90" s="490" t="s">
        <v>1094</v>
      </c>
      <c r="K90" s="416">
        <f t="shared" si="8"/>
        <v>7.0754716981132071E-4</v>
      </c>
      <c r="L90" s="490" t="s">
        <v>883</v>
      </c>
      <c r="M90" s="401" t="s">
        <v>1094</v>
      </c>
      <c r="N90" s="490" t="s">
        <v>883</v>
      </c>
      <c r="O90" s="401" t="s">
        <v>1094</v>
      </c>
      <c r="P90" s="401" t="s">
        <v>1094</v>
      </c>
      <c r="Q90" s="490" t="s">
        <v>883</v>
      </c>
      <c r="R90" s="490" t="s">
        <v>883</v>
      </c>
      <c r="S90" s="490" t="s">
        <v>883</v>
      </c>
      <c r="T90" s="490" t="s">
        <v>883</v>
      </c>
      <c r="U90" s="490" t="s">
        <v>883</v>
      </c>
      <c r="V90" s="284">
        <f t="shared" si="9"/>
        <v>17.97877358490566</v>
      </c>
      <c r="W90" s="299"/>
      <c r="X90" s="279"/>
      <c r="Y90" s="287">
        <f t="shared" si="12"/>
        <v>3.75</v>
      </c>
      <c r="Z90" s="287">
        <v>60</v>
      </c>
      <c r="AA90" s="288">
        <v>5300</v>
      </c>
      <c r="AB90" s="261">
        <f t="shared" si="10"/>
        <v>0.1216712580348944</v>
      </c>
      <c r="AC90" s="261">
        <f t="shared" si="11"/>
        <v>1.9467401285583104</v>
      </c>
      <c r="AD90" s="297"/>
      <c r="AE90" s="290" t="s">
        <v>863</v>
      </c>
      <c r="AF90" s="291">
        <v>6</v>
      </c>
      <c r="AG90" s="292" t="s">
        <v>1034</v>
      </c>
      <c r="AH90" s="293" t="s">
        <v>946</v>
      </c>
    </row>
    <row r="91" spans="1:41" s="107" customFormat="1">
      <c r="A91" s="242" t="s">
        <v>853</v>
      </c>
      <c r="B91" s="297" t="s">
        <v>1245</v>
      </c>
      <c r="C91" s="121" t="s">
        <v>761</v>
      </c>
      <c r="D91" s="490" t="s">
        <v>1094</v>
      </c>
      <c r="E91" s="490" t="s">
        <v>1094</v>
      </c>
      <c r="F91" s="490" t="s">
        <v>883</v>
      </c>
      <c r="G91" s="411" t="s">
        <v>1094</v>
      </c>
      <c r="H91" s="411" t="s">
        <v>1094</v>
      </c>
      <c r="I91" s="490" t="s">
        <v>883</v>
      </c>
      <c r="J91" s="490" t="s">
        <v>883</v>
      </c>
      <c r="K91" s="416">
        <f t="shared" si="8"/>
        <v>1.125E-2</v>
      </c>
      <c r="L91" s="490" t="s">
        <v>883</v>
      </c>
      <c r="M91" s="401" t="s">
        <v>1094</v>
      </c>
      <c r="N91" s="401" t="s">
        <v>1094</v>
      </c>
      <c r="O91" s="490" t="s">
        <v>883</v>
      </c>
      <c r="P91" s="401" t="s">
        <v>1094</v>
      </c>
      <c r="Q91" s="490" t="s">
        <v>883</v>
      </c>
      <c r="R91" s="490" t="s">
        <v>883</v>
      </c>
      <c r="S91" s="401" t="s">
        <v>1094</v>
      </c>
      <c r="T91" s="490" t="s">
        <v>883</v>
      </c>
      <c r="U91" s="490" t="s">
        <v>883</v>
      </c>
      <c r="V91" s="284">
        <f t="shared" si="9"/>
        <v>38.115000000000002</v>
      </c>
      <c r="W91" s="279"/>
      <c r="X91" s="279"/>
      <c r="Y91" s="287">
        <f t="shared" si="12"/>
        <v>28.125</v>
      </c>
      <c r="Z91" s="287">
        <v>450</v>
      </c>
      <c r="AA91" s="288">
        <v>2500</v>
      </c>
      <c r="AB91" s="261">
        <f t="shared" si="10"/>
        <v>5.73921028466483E-2</v>
      </c>
      <c r="AC91" s="261">
        <f t="shared" si="11"/>
        <v>0.91827364554637281</v>
      </c>
      <c r="AD91" s="297"/>
      <c r="AE91" s="290" t="s">
        <v>863</v>
      </c>
      <c r="AF91" s="291">
        <v>7</v>
      </c>
      <c r="AG91" s="298" t="s">
        <v>1037</v>
      </c>
      <c r="AH91" s="293" t="s">
        <v>976</v>
      </c>
    </row>
    <row r="92" spans="1:41" s="107" customFormat="1">
      <c r="A92" s="242" t="s">
        <v>853</v>
      </c>
      <c r="B92" s="282" t="s">
        <v>529</v>
      </c>
      <c r="C92" s="121" t="s">
        <v>781</v>
      </c>
      <c r="D92" s="490" t="s">
        <v>883</v>
      </c>
      <c r="E92" s="490" t="s">
        <v>1094</v>
      </c>
      <c r="F92" s="494" t="s">
        <v>883</v>
      </c>
      <c r="G92" s="411" t="s">
        <v>1094</v>
      </c>
      <c r="H92" s="411" t="s">
        <v>1094</v>
      </c>
      <c r="I92" s="411" t="s">
        <v>883</v>
      </c>
      <c r="J92" s="490" t="s">
        <v>1094</v>
      </c>
      <c r="K92" s="416">
        <f t="shared" si="8"/>
        <v>6.8181818181818187E-4</v>
      </c>
      <c r="L92" s="401" t="s">
        <v>1094</v>
      </c>
      <c r="M92" s="401" t="s">
        <v>1094</v>
      </c>
      <c r="N92" s="401" t="s">
        <v>1094</v>
      </c>
      <c r="O92" s="401" t="s">
        <v>1094</v>
      </c>
      <c r="P92" s="401" t="s">
        <v>1094</v>
      </c>
      <c r="Q92" s="401" t="s">
        <v>1094</v>
      </c>
      <c r="R92" s="401" t="s">
        <v>1094</v>
      </c>
      <c r="S92" s="401" t="s">
        <v>1094</v>
      </c>
      <c r="T92" s="401" t="s">
        <v>1094</v>
      </c>
      <c r="U92" s="401" t="s">
        <v>1094</v>
      </c>
      <c r="V92" s="284">
        <f t="shared" si="9"/>
        <v>8.6624999999999996</v>
      </c>
      <c r="W92" s="279"/>
      <c r="X92" s="279"/>
      <c r="Y92" s="287">
        <f t="shared" si="12"/>
        <v>7.5</v>
      </c>
      <c r="Z92" s="287">
        <v>120</v>
      </c>
      <c r="AA92" s="288">
        <v>11000</v>
      </c>
      <c r="AB92" s="261">
        <f t="shared" si="10"/>
        <v>0.25252525252525254</v>
      </c>
      <c r="AC92" s="261">
        <f t="shared" si="11"/>
        <v>4.0404040404040407</v>
      </c>
      <c r="AD92" s="297"/>
      <c r="AE92" s="290" t="s">
        <v>292</v>
      </c>
      <c r="AF92" s="291">
        <v>6</v>
      </c>
      <c r="AG92" s="292" t="s">
        <v>1034</v>
      </c>
      <c r="AH92" s="320" t="s">
        <v>977</v>
      </c>
    </row>
    <row r="93" spans="1:41" s="209" customFormat="1">
      <c r="A93" s="529" t="s">
        <v>853</v>
      </c>
      <c r="B93" s="530" t="s">
        <v>11167</v>
      </c>
      <c r="C93" s="552" t="s">
        <v>11168</v>
      </c>
      <c r="D93" s="553" t="s">
        <v>1094</v>
      </c>
      <c r="E93" s="547" t="s">
        <v>1094</v>
      </c>
      <c r="F93" s="547" t="s">
        <v>883</v>
      </c>
      <c r="G93" s="547" t="s">
        <v>1094</v>
      </c>
      <c r="H93" s="548" t="s">
        <v>1094</v>
      </c>
      <c r="I93" s="547" t="s">
        <v>883</v>
      </c>
      <c r="J93" s="547" t="s">
        <v>1094</v>
      </c>
      <c r="K93" s="533">
        <f t="shared" si="8"/>
        <v>1.8219178082191782E-3</v>
      </c>
      <c r="L93" s="547" t="s">
        <v>883</v>
      </c>
      <c r="M93" s="533" t="s">
        <v>883</v>
      </c>
      <c r="N93" s="533" t="s">
        <v>883</v>
      </c>
      <c r="O93" s="547" t="s">
        <v>1094</v>
      </c>
      <c r="P93" s="547" t="s">
        <v>1094</v>
      </c>
      <c r="Q93" s="547" t="s">
        <v>883</v>
      </c>
      <c r="R93" s="547" t="s">
        <v>883</v>
      </c>
      <c r="S93" s="533" t="s">
        <v>883</v>
      </c>
      <c r="T93" s="547" t="s">
        <v>883</v>
      </c>
      <c r="U93" s="547" t="s">
        <v>883</v>
      </c>
      <c r="V93" s="534">
        <f t="shared" si="9"/>
        <v>1.305308219178082</v>
      </c>
      <c r="W93" s="535"/>
      <c r="X93" s="536"/>
      <c r="Y93" s="537">
        <v>133</v>
      </c>
      <c r="Z93" s="537">
        <v>2124</v>
      </c>
      <c r="AA93" s="538">
        <v>73000</v>
      </c>
      <c r="AB93" s="516">
        <f t="shared" si="10"/>
        <v>1.6758494031221305</v>
      </c>
      <c r="AC93" s="516">
        <f t="shared" si="11"/>
        <v>26.813590449954088</v>
      </c>
      <c r="AD93" s="539"/>
      <c r="AE93" s="540" t="s">
        <v>290</v>
      </c>
      <c r="AF93" s="541">
        <v>4</v>
      </c>
      <c r="AG93" s="542" t="s">
        <v>1034</v>
      </c>
      <c r="AH93" s="543" t="s">
        <v>946</v>
      </c>
      <c r="AI93" s="107"/>
      <c r="AJ93" s="107"/>
      <c r="AK93" s="107"/>
      <c r="AL93" s="107"/>
      <c r="AM93" s="107"/>
      <c r="AN93" s="107"/>
      <c r="AO93" s="107"/>
    </row>
    <row r="94" spans="1:41" s="107" customFormat="1">
      <c r="A94" s="242" t="s">
        <v>853</v>
      </c>
      <c r="B94" s="282" t="s">
        <v>348</v>
      </c>
      <c r="C94" s="121" t="s">
        <v>671</v>
      </c>
      <c r="D94" s="490" t="s">
        <v>883</v>
      </c>
      <c r="E94" s="490" t="s">
        <v>1094</v>
      </c>
      <c r="F94" s="490" t="s">
        <v>883</v>
      </c>
      <c r="G94" s="490" t="s">
        <v>883</v>
      </c>
      <c r="H94" s="490" t="s">
        <v>883</v>
      </c>
      <c r="I94" s="490" t="s">
        <v>883</v>
      </c>
      <c r="J94" s="411" t="s">
        <v>1094</v>
      </c>
      <c r="K94" s="416">
        <f t="shared" si="8"/>
        <v>3.8461538461538464E-2</v>
      </c>
      <c r="L94" s="490" t="s">
        <v>883</v>
      </c>
      <c r="M94" s="401" t="s">
        <v>1094</v>
      </c>
      <c r="N94" s="401" t="s">
        <v>1094</v>
      </c>
      <c r="O94" s="490" t="s">
        <v>883</v>
      </c>
      <c r="P94" s="401" t="s">
        <v>1094</v>
      </c>
      <c r="Q94" s="490" t="s">
        <v>883</v>
      </c>
      <c r="R94" s="490" t="s">
        <v>883</v>
      </c>
      <c r="S94" s="490" t="s">
        <v>883</v>
      </c>
      <c r="T94" s="490" t="s">
        <v>883</v>
      </c>
      <c r="U94" s="490" t="s">
        <v>883</v>
      </c>
      <c r="V94" s="284">
        <f t="shared" si="9"/>
        <v>36.64903846153846</v>
      </c>
      <c r="W94" s="279"/>
      <c r="X94" s="279"/>
      <c r="Y94" s="287">
        <f>SUM(Z94/16)</f>
        <v>100</v>
      </c>
      <c r="Z94" s="287">
        <v>1600</v>
      </c>
      <c r="AA94" s="288">
        <v>2600</v>
      </c>
      <c r="AB94" s="261">
        <f t="shared" si="10"/>
        <v>5.968778696051423E-2</v>
      </c>
      <c r="AC94" s="261">
        <f t="shared" si="11"/>
        <v>0.95500459136822768</v>
      </c>
      <c r="AD94" s="297"/>
      <c r="AE94" s="290" t="s">
        <v>290</v>
      </c>
      <c r="AF94" s="291">
        <v>7</v>
      </c>
      <c r="AG94" s="292" t="s">
        <v>1034</v>
      </c>
      <c r="AH94" s="293" t="s">
        <v>953</v>
      </c>
    </row>
    <row r="95" spans="1:41" s="209" customFormat="1">
      <c r="A95" s="242" t="s">
        <v>853</v>
      </c>
      <c r="B95" s="282" t="s">
        <v>349</v>
      </c>
      <c r="C95" s="121" t="s">
        <v>708</v>
      </c>
      <c r="D95" s="490" t="s">
        <v>883</v>
      </c>
      <c r="E95" s="490" t="s">
        <v>883</v>
      </c>
      <c r="F95" s="490" t="s">
        <v>1094</v>
      </c>
      <c r="G95" s="411" t="s">
        <v>1094</v>
      </c>
      <c r="H95" s="490" t="s">
        <v>883</v>
      </c>
      <c r="I95" s="411" t="s">
        <v>1094</v>
      </c>
      <c r="J95" s="490" t="s">
        <v>883</v>
      </c>
      <c r="K95" s="416">
        <f t="shared" si="8"/>
        <v>0.02</v>
      </c>
      <c r="L95" s="490" t="s">
        <v>883</v>
      </c>
      <c r="M95" s="401" t="s">
        <v>1094</v>
      </c>
      <c r="N95" s="490" t="s">
        <v>883</v>
      </c>
      <c r="O95" s="401" t="s">
        <v>1094</v>
      </c>
      <c r="P95" s="401" t="s">
        <v>1094</v>
      </c>
      <c r="Q95" s="490" t="s">
        <v>883</v>
      </c>
      <c r="R95" s="490" t="s">
        <v>883</v>
      </c>
      <c r="S95" s="490" t="s">
        <v>883</v>
      </c>
      <c r="T95" s="490" t="s">
        <v>883</v>
      </c>
      <c r="U95" s="490" t="s">
        <v>883</v>
      </c>
      <c r="V95" s="284">
        <f t="shared" si="9"/>
        <v>0.31762499999999999</v>
      </c>
      <c r="W95" s="279"/>
      <c r="X95" s="279"/>
      <c r="Y95" s="287">
        <v>6000</v>
      </c>
      <c r="Z95" s="287">
        <f>Y95*16</f>
        <v>96000</v>
      </c>
      <c r="AA95" s="288">
        <v>300000</v>
      </c>
      <c r="AB95" s="261">
        <f t="shared" si="10"/>
        <v>6.887052341597796</v>
      </c>
      <c r="AC95" s="261">
        <f t="shared" si="11"/>
        <v>110.19283746556474</v>
      </c>
      <c r="AD95" s="297"/>
      <c r="AE95" s="290" t="s">
        <v>294</v>
      </c>
      <c r="AF95" s="291">
        <v>8</v>
      </c>
      <c r="AG95" s="292" t="s">
        <v>1034</v>
      </c>
      <c r="AH95" s="293" t="s">
        <v>978</v>
      </c>
      <c r="AI95" s="107"/>
      <c r="AJ95" s="107"/>
      <c r="AK95" s="107"/>
      <c r="AL95" s="107"/>
      <c r="AM95" s="107"/>
      <c r="AN95" s="107"/>
      <c r="AO95" s="107"/>
    </row>
    <row r="96" spans="1:41" s="107" customFormat="1">
      <c r="A96" s="242" t="s">
        <v>853</v>
      </c>
      <c r="B96" s="297" t="s">
        <v>1246</v>
      </c>
      <c r="C96" s="121" t="s">
        <v>756</v>
      </c>
      <c r="D96" s="490" t="s">
        <v>883</v>
      </c>
      <c r="E96" s="490" t="s">
        <v>1094</v>
      </c>
      <c r="F96" s="490" t="s">
        <v>1094</v>
      </c>
      <c r="G96" s="411" t="s">
        <v>1094</v>
      </c>
      <c r="H96" s="411" t="s">
        <v>1094</v>
      </c>
      <c r="I96" s="411" t="s">
        <v>1094</v>
      </c>
      <c r="J96" s="490" t="s">
        <v>883</v>
      </c>
      <c r="K96" s="416">
        <f t="shared" si="8"/>
        <v>2.6785714285714287E-4</v>
      </c>
      <c r="L96" s="490" t="s">
        <v>883</v>
      </c>
      <c r="M96" s="401" t="s">
        <v>1094</v>
      </c>
      <c r="N96" s="401" t="s">
        <v>1094</v>
      </c>
      <c r="O96" s="401" t="s">
        <v>1094</v>
      </c>
      <c r="P96" s="490" t="s">
        <v>883</v>
      </c>
      <c r="Q96" s="401" t="s">
        <v>1094</v>
      </c>
      <c r="R96" s="401" t="s">
        <v>1094</v>
      </c>
      <c r="S96" s="401" t="s">
        <v>1094</v>
      </c>
      <c r="T96" s="401" t="s">
        <v>1094</v>
      </c>
      <c r="U96" s="401" t="s">
        <v>1094</v>
      </c>
      <c r="V96" s="284">
        <f t="shared" si="9"/>
        <v>0.27224999999999999</v>
      </c>
      <c r="W96" s="279"/>
      <c r="X96" s="279"/>
      <c r="Y96" s="287">
        <f t="shared" ref="Y96:Y110" si="13">SUM(Z96/16)</f>
        <v>93.75</v>
      </c>
      <c r="Z96" s="287">
        <v>1500</v>
      </c>
      <c r="AA96" s="288">
        <v>350000</v>
      </c>
      <c r="AB96" s="261">
        <f t="shared" si="10"/>
        <v>8.0348943985307617</v>
      </c>
      <c r="AC96" s="261">
        <f t="shared" si="11"/>
        <v>128.55831037649219</v>
      </c>
      <c r="AD96" s="297"/>
      <c r="AE96" s="290" t="s">
        <v>294</v>
      </c>
      <c r="AF96" s="291">
        <v>5</v>
      </c>
      <c r="AG96" s="292" t="s">
        <v>1034</v>
      </c>
      <c r="AH96" s="293" t="s">
        <v>958</v>
      </c>
    </row>
    <row r="97" spans="1:41" s="209" customFormat="1">
      <c r="A97" s="242" t="s">
        <v>853</v>
      </c>
      <c r="B97" s="297" t="s">
        <v>1247</v>
      </c>
      <c r="C97" s="121" t="s">
        <v>733</v>
      </c>
      <c r="D97" s="490" t="s">
        <v>1094</v>
      </c>
      <c r="E97" s="490" t="s">
        <v>1094</v>
      </c>
      <c r="F97" s="490" t="s">
        <v>883</v>
      </c>
      <c r="G97" s="411" t="s">
        <v>1094</v>
      </c>
      <c r="H97" s="411" t="s">
        <v>1094</v>
      </c>
      <c r="I97" s="490" t="s">
        <v>883</v>
      </c>
      <c r="J97" s="490" t="s">
        <v>883</v>
      </c>
      <c r="K97" s="416">
        <f t="shared" si="8"/>
        <v>8.9285714285714286E-5</v>
      </c>
      <c r="L97" s="401" t="s">
        <v>1094</v>
      </c>
      <c r="M97" s="401" t="s">
        <v>1094</v>
      </c>
      <c r="N97" s="401" t="s">
        <v>1094</v>
      </c>
      <c r="O97" s="401" t="s">
        <v>1094</v>
      </c>
      <c r="P97" s="401" t="s">
        <v>1094</v>
      </c>
      <c r="Q97" s="401" t="s">
        <v>1094</v>
      </c>
      <c r="R97" s="401" t="s">
        <v>1094</v>
      </c>
      <c r="S97" s="401" t="s">
        <v>1094</v>
      </c>
      <c r="T97" s="401" t="s">
        <v>1094</v>
      </c>
      <c r="U97" s="401" t="s">
        <v>1094</v>
      </c>
      <c r="V97" s="284">
        <f t="shared" si="9"/>
        <v>2.2687500000000003</v>
      </c>
      <c r="W97" s="279"/>
      <c r="X97" s="279"/>
      <c r="Y97" s="287">
        <f t="shared" si="13"/>
        <v>3.75</v>
      </c>
      <c r="Z97" s="287">
        <v>60</v>
      </c>
      <c r="AA97" s="288">
        <v>42000</v>
      </c>
      <c r="AB97" s="261">
        <f t="shared" si="10"/>
        <v>0.96418732782369143</v>
      </c>
      <c r="AC97" s="261">
        <f t="shared" si="11"/>
        <v>15.426997245179063</v>
      </c>
      <c r="AD97" s="297"/>
      <c r="AE97" s="290" t="s">
        <v>294</v>
      </c>
      <c r="AF97" s="291">
        <v>4</v>
      </c>
      <c r="AG97" s="292" t="s">
        <v>1034</v>
      </c>
      <c r="AH97" s="293" t="s">
        <v>960</v>
      </c>
      <c r="AI97" s="107"/>
      <c r="AJ97" s="107"/>
      <c r="AK97" s="107"/>
      <c r="AL97" s="107"/>
      <c r="AM97" s="107"/>
      <c r="AN97" s="107"/>
      <c r="AO97" s="107"/>
    </row>
    <row r="98" spans="1:41" s="209" customFormat="1">
      <c r="A98" s="242" t="s">
        <v>853</v>
      </c>
      <c r="B98" s="297" t="s">
        <v>1248</v>
      </c>
      <c r="C98" s="108" t="s">
        <v>595</v>
      </c>
      <c r="D98" s="490" t="s">
        <v>883</v>
      </c>
      <c r="E98" s="497" t="s">
        <v>1094</v>
      </c>
      <c r="F98" s="490" t="s">
        <v>883</v>
      </c>
      <c r="G98" s="411" t="s">
        <v>883</v>
      </c>
      <c r="H98" s="411" t="s">
        <v>1094</v>
      </c>
      <c r="I98" s="490" t="s">
        <v>883</v>
      </c>
      <c r="J98" s="490" t="s">
        <v>1094</v>
      </c>
      <c r="K98" s="416">
        <f t="shared" si="8"/>
        <v>1.4062499999999999E-3</v>
      </c>
      <c r="L98" s="490" t="s">
        <v>883</v>
      </c>
      <c r="M98" s="401" t="s">
        <v>1094</v>
      </c>
      <c r="N98" s="490" t="s">
        <v>883</v>
      </c>
      <c r="O98" s="490" t="s">
        <v>883</v>
      </c>
      <c r="P98" s="490" t="s">
        <v>883</v>
      </c>
      <c r="Q98" s="490" t="s">
        <v>883</v>
      </c>
      <c r="R98" s="401" t="s">
        <v>1094</v>
      </c>
      <c r="S98" s="401" t="s">
        <v>1094</v>
      </c>
      <c r="T98" s="401" t="s">
        <v>1094</v>
      </c>
      <c r="U98" s="490" t="s">
        <v>883</v>
      </c>
      <c r="V98" s="284">
        <f t="shared" si="9"/>
        <v>23.821875000000002</v>
      </c>
      <c r="W98" s="299"/>
      <c r="X98" s="299"/>
      <c r="Y98" s="287">
        <f t="shared" si="13"/>
        <v>5.625</v>
      </c>
      <c r="Z98" s="287">
        <v>90</v>
      </c>
      <c r="AA98" s="288">
        <v>4000</v>
      </c>
      <c r="AB98" s="261">
        <f t="shared" si="10"/>
        <v>9.1827364554637275E-2</v>
      </c>
      <c r="AC98" s="261">
        <f t="shared" si="11"/>
        <v>1.4692378328741964</v>
      </c>
      <c r="AD98" s="282"/>
      <c r="AE98" s="290" t="s">
        <v>294</v>
      </c>
      <c r="AF98" s="291">
        <v>8</v>
      </c>
      <c r="AG98" s="292" t="s">
        <v>1034</v>
      </c>
      <c r="AH98" s="293" t="s">
        <v>946</v>
      </c>
      <c r="AI98" s="107"/>
      <c r="AJ98" s="107"/>
      <c r="AK98" s="107"/>
      <c r="AL98" s="107"/>
      <c r="AM98" s="107"/>
      <c r="AN98" s="107"/>
      <c r="AO98" s="107"/>
    </row>
    <row r="99" spans="1:41" s="223" customFormat="1">
      <c r="A99" s="242" t="s">
        <v>853</v>
      </c>
      <c r="B99" s="282" t="s">
        <v>350</v>
      </c>
      <c r="C99" s="121" t="s">
        <v>691</v>
      </c>
      <c r="D99" s="490" t="s">
        <v>883</v>
      </c>
      <c r="E99" s="490" t="s">
        <v>883</v>
      </c>
      <c r="F99" s="490" t="s">
        <v>1094</v>
      </c>
      <c r="G99" s="411" t="s">
        <v>1094</v>
      </c>
      <c r="H99" s="411" t="s">
        <v>1094</v>
      </c>
      <c r="I99" s="411" t="s">
        <v>1094</v>
      </c>
      <c r="J99" s="490" t="s">
        <v>1094</v>
      </c>
      <c r="K99" s="416">
        <f t="shared" si="8"/>
        <v>7.4999999999999993E-5</v>
      </c>
      <c r="L99" s="401" t="s">
        <v>1094</v>
      </c>
      <c r="M99" s="401" t="s">
        <v>1094</v>
      </c>
      <c r="N99" s="401" t="s">
        <v>1094</v>
      </c>
      <c r="O99" s="401" t="s">
        <v>1094</v>
      </c>
      <c r="P99" s="401" t="s">
        <v>1094</v>
      </c>
      <c r="Q99" s="401" t="s">
        <v>1094</v>
      </c>
      <c r="R99" s="401" t="s">
        <v>1094</v>
      </c>
      <c r="S99" s="401" t="s">
        <v>1094</v>
      </c>
      <c r="T99" s="401" t="s">
        <v>1094</v>
      </c>
      <c r="U99" s="401" t="s">
        <v>1094</v>
      </c>
      <c r="V99" s="284">
        <f t="shared" si="9"/>
        <v>0.19057499999999999</v>
      </c>
      <c r="W99" s="279"/>
      <c r="X99" s="279"/>
      <c r="Y99" s="287">
        <f t="shared" si="13"/>
        <v>37.5</v>
      </c>
      <c r="Z99" s="287">
        <v>600</v>
      </c>
      <c r="AA99" s="288">
        <v>500000</v>
      </c>
      <c r="AB99" s="261">
        <f t="shared" si="10"/>
        <v>11.478420569329661</v>
      </c>
      <c r="AC99" s="261">
        <f t="shared" si="11"/>
        <v>183.65472910927457</v>
      </c>
      <c r="AD99" s="297"/>
      <c r="AE99" s="290" t="s">
        <v>294</v>
      </c>
      <c r="AF99" s="291">
        <v>3</v>
      </c>
      <c r="AG99" s="292" t="s">
        <v>1034</v>
      </c>
      <c r="AH99" s="293" t="s">
        <v>959</v>
      </c>
      <c r="AI99" s="107"/>
      <c r="AJ99" s="107"/>
      <c r="AK99" s="107"/>
      <c r="AL99" s="107"/>
      <c r="AM99" s="107"/>
      <c r="AN99" s="107"/>
      <c r="AO99" s="107"/>
    </row>
    <row r="100" spans="1:41" s="107" customFormat="1">
      <c r="A100" s="242" t="s">
        <v>853</v>
      </c>
      <c r="B100" s="282" t="s">
        <v>351</v>
      </c>
      <c r="C100" s="121" t="s">
        <v>740</v>
      </c>
      <c r="D100" s="490" t="s">
        <v>883</v>
      </c>
      <c r="E100" s="490" t="s">
        <v>883</v>
      </c>
      <c r="F100" s="490" t="s">
        <v>1094</v>
      </c>
      <c r="G100" s="411" t="s">
        <v>1094</v>
      </c>
      <c r="H100" s="490" t="s">
        <v>1094</v>
      </c>
      <c r="I100" s="411" t="s">
        <v>1094</v>
      </c>
      <c r="J100" s="490" t="s">
        <v>883</v>
      </c>
      <c r="K100" s="416">
        <f t="shared" si="8"/>
        <v>6.2500000000000001E-4</v>
      </c>
      <c r="L100" s="401" t="s">
        <v>1094</v>
      </c>
      <c r="M100" s="401" t="s">
        <v>1094</v>
      </c>
      <c r="N100" s="401" t="s">
        <v>1094</v>
      </c>
      <c r="O100" s="401" t="s">
        <v>1094</v>
      </c>
      <c r="P100" s="401" t="s">
        <v>1094</v>
      </c>
      <c r="Q100" s="401" t="s">
        <v>1094</v>
      </c>
      <c r="R100" s="401" t="s">
        <v>1094</v>
      </c>
      <c r="S100" s="401" t="s">
        <v>1094</v>
      </c>
      <c r="T100" s="401" t="s">
        <v>1094</v>
      </c>
      <c r="U100" s="401" t="s">
        <v>1094</v>
      </c>
      <c r="V100" s="284">
        <f t="shared" ref="V100:V131" si="14">35/AC100</f>
        <v>6.3525</v>
      </c>
      <c r="W100" s="279"/>
      <c r="X100" s="279"/>
      <c r="Y100" s="287">
        <f t="shared" si="13"/>
        <v>9.375</v>
      </c>
      <c r="Z100" s="287">
        <v>150</v>
      </c>
      <c r="AA100" s="288">
        <v>15000</v>
      </c>
      <c r="AB100" s="261">
        <f t="shared" si="10"/>
        <v>0.34435261707988979</v>
      </c>
      <c r="AC100" s="261">
        <f t="shared" si="11"/>
        <v>5.5096418732782366</v>
      </c>
      <c r="AD100" s="297"/>
      <c r="AE100" s="290" t="s">
        <v>863</v>
      </c>
      <c r="AF100" s="291">
        <v>7</v>
      </c>
      <c r="AG100" s="292" t="s">
        <v>1034</v>
      </c>
      <c r="AH100" s="293" t="s">
        <v>946</v>
      </c>
    </row>
    <row r="101" spans="1:41" s="107" customFormat="1">
      <c r="A101" s="242" t="s">
        <v>853</v>
      </c>
      <c r="B101" s="281" t="s">
        <v>1303</v>
      </c>
      <c r="C101" s="121" t="s">
        <v>826</v>
      </c>
      <c r="D101" s="490" t="s">
        <v>883</v>
      </c>
      <c r="E101" s="490" t="s">
        <v>1094</v>
      </c>
      <c r="F101" s="490" t="s">
        <v>883</v>
      </c>
      <c r="G101" s="490" t="s">
        <v>883</v>
      </c>
      <c r="H101" s="411" t="s">
        <v>883</v>
      </c>
      <c r="I101" s="490" t="s">
        <v>883</v>
      </c>
      <c r="J101" s="411" t="s">
        <v>1094</v>
      </c>
      <c r="K101" s="416">
        <f t="shared" si="8"/>
        <v>0.04</v>
      </c>
      <c r="L101" s="490" t="s">
        <v>883</v>
      </c>
      <c r="M101" s="401" t="s">
        <v>1094</v>
      </c>
      <c r="N101" s="401" t="s">
        <v>1094</v>
      </c>
      <c r="O101" s="490" t="s">
        <v>883</v>
      </c>
      <c r="P101" s="401" t="s">
        <v>1094</v>
      </c>
      <c r="Q101" s="490" t="s">
        <v>883</v>
      </c>
      <c r="R101" s="401" t="s">
        <v>1094</v>
      </c>
      <c r="S101" s="401" t="s">
        <v>1094</v>
      </c>
      <c r="T101" s="401" t="s">
        <v>1094</v>
      </c>
      <c r="U101" s="490" t="s">
        <v>883</v>
      </c>
      <c r="V101" s="284">
        <f t="shared" si="14"/>
        <v>95.287500000000009</v>
      </c>
      <c r="W101" s="285"/>
      <c r="X101" s="286"/>
      <c r="Y101" s="287">
        <f t="shared" si="13"/>
        <v>40</v>
      </c>
      <c r="Z101" s="287">
        <v>640</v>
      </c>
      <c r="AA101" s="288">
        <v>1000</v>
      </c>
      <c r="AB101" s="261">
        <f t="shared" si="10"/>
        <v>2.2956841138659319E-2</v>
      </c>
      <c r="AC101" s="261">
        <f t="shared" si="11"/>
        <v>0.3673094582185491</v>
      </c>
      <c r="AD101" s="289"/>
      <c r="AE101" s="290" t="s">
        <v>525</v>
      </c>
      <c r="AF101" s="291">
        <v>7</v>
      </c>
      <c r="AG101" s="292" t="s">
        <v>1035</v>
      </c>
      <c r="AH101" s="293" t="s">
        <v>948</v>
      </c>
    </row>
    <row r="102" spans="1:41" s="107" customFormat="1">
      <c r="A102" s="242" t="s">
        <v>853</v>
      </c>
      <c r="B102" s="282" t="s">
        <v>352</v>
      </c>
      <c r="C102" s="106" t="s">
        <v>594</v>
      </c>
      <c r="D102" s="491" t="s">
        <v>1094</v>
      </c>
      <c r="E102" s="490" t="s">
        <v>883</v>
      </c>
      <c r="F102" s="490" t="s">
        <v>883</v>
      </c>
      <c r="G102" s="411" t="s">
        <v>1094</v>
      </c>
      <c r="H102" s="490" t="s">
        <v>883</v>
      </c>
      <c r="I102" s="490" t="s">
        <v>883</v>
      </c>
      <c r="J102" s="490" t="s">
        <v>883</v>
      </c>
      <c r="K102" s="416">
        <f t="shared" si="8"/>
        <v>1.9444444444444445E-2</v>
      </c>
      <c r="L102" s="490" t="s">
        <v>883</v>
      </c>
      <c r="M102" s="401" t="s">
        <v>1094</v>
      </c>
      <c r="N102" s="490" t="s">
        <v>883</v>
      </c>
      <c r="O102" s="401" t="s">
        <v>1094</v>
      </c>
      <c r="P102" s="490" t="s">
        <v>883</v>
      </c>
      <c r="Q102" s="401" t="s">
        <v>1094</v>
      </c>
      <c r="R102" s="401" t="s">
        <v>1094</v>
      </c>
      <c r="S102" s="490" t="s">
        <v>883</v>
      </c>
      <c r="T102" s="401" t="s">
        <v>1094</v>
      </c>
      <c r="U102" s="401" t="s">
        <v>1094</v>
      </c>
      <c r="V102" s="284">
        <f t="shared" si="14"/>
        <v>26.46875</v>
      </c>
      <c r="W102" s="279"/>
      <c r="X102" s="279"/>
      <c r="Y102" s="287">
        <f t="shared" si="13"/>
        <v>70</v>
      </c>
      <c r="Z102" s="287">
        <v>1120</v>
      </c>
      <c r="AA102" s="288">
        <v>3600</v>
      </c>
      <c r="AB102" s="261">
        <f t="shared" si="10"/>
        <v>8.2644628099173556E-2</v>
      </c>
      <c r="AC102" s="261">
        <f t="shared" si="11"/>
        <v>1.3223140495867769</v>
      </c>
      <c r="AD102" s="297"/>
      <c r="AE102" s="290" t="s">
        <v>863</v>
      </c>
      <c r="AF102" s="291">
        <v>6</v>
      </c>
      <c r="AG102" s="292" t="s">
        <v>1034</v>
      </c>
      <c r="AH102" s="377" t="s">
        <v>946</v>
      </c>
    </row>
    <row r="103" spans="1:41" s="107" customFormat="1">
      <c r="A103" s="242" t="s">
        <v>853</v>
      </c>
      <c r="B103" s="282" t="s">
        <v>353</v>
      </c>
      <c r="C103" s="106" t="s">
        <v>803</v>
      </c>
      <c r="D103" s="491" t="s">
        <v>1094</v>
      </c>
      <c r="E103" s="491" t="s">
        <v>1094</v>
      </c>
      <c r="F103" s="490" t="s">
        <v>883</v>
      </c>
      <c r="G103" s="411" t="s">
        <v>1094</v>
      </c>
      <c r="H103" s="490" t="s">
        <v>883</v>
      </c>
      <c r="I103" s="490" t="s">
        <v>883</v>
      </c>
      <c r="J103" s="490" t="s">
        <v>883</v>
      </c>
      <c r="K103" s="416">
        <f t="shared" si="8"/>
        <v>9.3023255813953487E-3</v>
      </c>
      <c r="L103" s="490" t="s">
        <v>883</v>
      </c>
      <c r="M103" s="490" t="s">
        <v>883</v>
      </c>
      <c r="N103" s="490" t="s">
        <v>883</v>
      </c>
      <c r="O103" s="490" t="s">
        <v>883</v>
      </c>
      <c r="P103" s="401" t="s">
        <v>1094</v>
      </c>
      <c r="Q103" s="490" t="s">
        <v>883</v>
      </c>
      <c r="R103" s="490" t="s">
        <v>883</v>
      </c>
      <c r="S103" s="490" t="s">
        <v>883</v>
      </c>
      <c r="T103" s="490" t="s">
        <v>883</v>
      </c>
      <c r="U103" s="490" t="s">
        <v>883</v>
      </c>
      <c r="V103" s="284">
        <f t="shared" si="14"/>
        <v>22.159883720930235</v>
      </c>
      <c r="W103" s="279"/>
      <c r="X103" s="279"/>
      <c r="Y103" s="287">
        <f t="shared" si="13"/>
        <v>40</v>
      </c>
      <c r="Z103" s="287">
        <v>640</v>
      </c>
      <c r="AA103" s="288">
        <v>4300</v>
      </c>
      <c r="AB103" s="261">
        <f t="shared" si="10"/>
        <v>9.8714416896235072E-2</v>
      </c>
      <c r="AC103" s="261">
        <f t="shared" si="11"/>
        <v>1.5794306703397611</v>
      </c>
      <c r="AD103" s="297"/>
      <c r="AE103" s="290" t="s">
        <v>863</v>
      </c>
      <c r="AF103" s="291">
        <v>5</v>
      </c>
      <c r="AG103" s="292" t="s">
        <v>1034</v>
      </c>
      <c r="AH103" s="293" t="s">
        <v>960</v>
      </c>
    </row>
    <row r="104" spans="1:41" s="107" customFormat="1">
      <c r="A104" s="242" t="s">
        <v>853</v>
      </c>
      <c r="B104" s="282" t="s">
        <v>354</v>
      </c>
      <c r="C104" s="106" t="s">
        <v>610</v>
      </c>
      <c r="D104" s="491" t="s">
        <v>883</v>
      </c>
      <c r="E104" s="490" t="s">
        <v>1094</v>
      </c>
      <c r="F104" s="490" t="s">
        <v>1094</v>
      </c>
      <c r="G104" s="411" t="s">
        <v>1094</v>
      </c>
      <c r="H104" s="490" t="s">
        <v>883</v>
      </c>
      <c r="I104" s="490" t="s">
        <v>883</v>
      </c>
      <c r="J104" s="490" t="s">
        <v>883</v>
      </c>
      <c r="K104" s="416">
        <f t="shared" si="8"/>
        <v>6.7287234042553191E-3</v>
      </c>
      <c r="L104" s="401" t="s">
        <v>1094</v>
      </c>
      <c r="M104" s="401" t="s">
        <v>1094</v>
      </c>
      <c r="N104" s="401" t="s">
        <v>1094</v>
      </c>
      <c r="O104" s="401" t="s">
        <v>1094</v>
      </c>
      <c r="P104" s="401" t="s">
        <v>1094</v>
      </c>
      <c r="Q104" s="401" t="s">
        <v>1094</v>
      </c>
      <c r="R104" s="401" t="s">
        <v>1094</v>
      </c>
      <c r="S104" s="401" t="s">
        <v>1094</v>
      </c>
      <c r="T104" s="401" t="s">
        <v>1094</v>
      </c>
      <c r="U104" s="401" t="s">
        <v>1094</v>
      </c>
      <c r="V104" s="284">
        <f t="shared" si="14"/>
        <v>20.273936170212767</v>
      </c>
      <c r="W104" s="279"/>
      <c r="X104" s="279"/>
      <c r="Y104" s="287">
        <f t="shared" si="13"/>
        <v>31.625</v>
      </c>
      <c r="Z104" s="287">
        <v>506</v>
      </c>
      <c r="AA104" s="288">
        <v>4700</v>
      </c>
      <c r="AB104" s="261">
        <f t="shared" si="10"/>
        <v>0.1078971533516988</v>
      </c>
      <c r="AC104" s="261">
        <f t="shared" si="11"/>
        <v>1.7263544536271809</v>
      </c>
      <c r="AD104" s="297"/>
      <c r="AE104" s="290" t="s">
        <v>863</v>
      </c>
      <c r="AF104" s="291">
        <v>7</v>
      </c>
      <c r="AG104" s="292" t="s">
        <v>1034</v>
      </c>
      <c r="AH104" s="293" t="s">
        <v>946</v>
      </c>
    </row>
    <row r="105" spans="1:41" s="107" customFormat="1">
      <c r="A105" s="242" t="s">
        <v>853</v>
      </c>
      <c r="B105" s="282" t="s">
        <v>355</v>
      </c>
      <c r="C105" s="106" t="s">
        <v>1090</v>
      </c>
      <c r="D105" s="491" t="s">
        <v>1094</v>
      </c>
      <c r="E105" s="490" t="s">
        <v>1094</v>
      </c>
      <c r="F105" s="490" t="s">
        <v>883</v>
      </c>
      <c r="G105" s="411" t="s">
        <v>1094</v>
      </c>
      <c r="H105" s="490" t="s">
        <v>1094</v>
      </c>
      <c r="I105" s="490" t="s">
        <v>883</v>
      </c>
      <c r="J105" s="490" t="s">
        <v>883</v>
      </c>
      <c r="K105" s="416">
        <f t="shared" si="8"/>
        <v>5.7692307692307696E-3</v>
      </c>
      <c r="L105" s="490" t="s">
        <v>883</v>
      </c>
      <c r="M105" s="401" t="s">
        <v>1094</v>
      </c>
      <c r="N105" s="490" t="s">
        <v>883</v>
      </c>
      <c r="O105" s="401" t="s">
        <v>1094</v>
      </c>
      <c r="P105" s="401" t="s">
        <v>1094</v>
      </c>
      <c r="Q105" s="401" t="s">
        <v>1094</v>
      </c>
      <c r="R105" s="401" t="s">
        <v>1094</v>
      </c>
      <c r="S105" s="490" t="s">
        <v>883</v>
      </c>
      <c r="T105" s="401" t="s">
        <v>1094</v>
      </c>
      <c r="U105" s="490" t="s">
        <v>883</v>
      </c>
      <c r="V105" s="284">
        <f t="shared" si="14"/>
        <v>18.32451923076923</v>
      </c>
      <c r="W105" s="279"/>
      <c r="X105" s="279"/>
      <c r="Y105" s="287">
        <f t="shared" si="13"/>
        <v>30</v>
      </c>
      <c r="Z105" s="287">
        <v>480</v>
      </c>
      <c r="AA105" s="288">
        <v>5200</v>
      </c>
      <c r="AB105" s="261">
        <f t="shared" si="10"/>
        <v>0.11937557392102846</v>
      </c>
      <c r="AC105" s="261">
        <f t="shared" si="11"/>
        <v>1.9100091827364554</v>
      </c>
      <c r="AD105" s="297"/>
      <c r="AE105" s="290" t="s">
        <v>525</v>
      </c>
      <c r="AF105" s="291">
        <v>9</v>
      </c>
      <c r="AG105" s="298" t="s">
        <v>1037</v>
      </c>
      <c r="AH105" s="293" t="s">
        <v>957</v>
      </c>
    </row>
    <row r="106" spans="1:41" s="107" customFormat="1">
      <c r="A106" s="242" t="s">
        <v>853</v>
      </c>
      <c r="B106" s="282" t="s">
        <v>356</v>
      </c>
      <c r="C106" s="122" t="s">
        <v>11122</v>
      </c>
      <c r="D106" s="496" t="s">
        <v>1094</v>
      </c>
      <c r="E106" s="490" t="s">
        <v>883</v>
      </c>
      <c r="F106" s="490" t="s">
        <v>883</v>
      </c>
      <c r="G106" s="411" t="s">
        <v>1094</v>
      </c>
      <c r="H106" s="490" t="s">
        <v>1094</v>
      </c>
      <c r="I106" s="490" t="s">
        <v>883</v>
      </c>
      <c r="J106" s="490" t="s">
        <v>883</v>
      </c>
      <c r="K106" s="416">
        <f t="shared" si="8"/>
        <v>2.6785714285714287E-4</v>
      </c>
      <c r="L106" s="490" t="s">
        <v>883</v>
      </c>
      <c r="M106" s="401" t="s">
        <v>1094</v>
      </c>
      <c r="N106" s="401" t="s">
        <v>1094</v>
      </c>
      <c r="O106" s="490" t="s">
        <v>883</v>
      </c>
      <c r="P106" s="490" t="s">
        <v>883</v>
      </c>
      <c r="Q106" s="401" t="s">
        <v>1094</v>
      </c>
      <c r="R106" s="490" t="s">
        <v>883</v>
      </c>
      <c r="S106" s="490" t="s">
        <v>883</v>
      </c>
      <c r="T106" s="490" t="s">
        <v>883</v>
      </c>
      <c r="U106" s="490" t="s">
        <v>883</v>
      </c>
      <c r="V106" s="284">
        <f t="shared" si="14"/>
        <v>1.3612500000000001</v>
      </c>
      <c r="W106" s="279"/>
      <c r="X106" s="279"/>
      <c r="Y106" s="287">
        <f t="shared" si="13"/>
        <v>18.75</v>
      </c>
      <c r="Z106" s="287">
        <v>300</v>
      </c>
      <c r="AA106" s="288">
        <v>70000</v>
      </c>
      <c r="AB106" s="261">
        <f t="shared" si="10"/>
        <v>1.6069788797061524</v>
      </c>
      <c r="AC106" s="261">
        <f t="shared" si="11"/>
        <v>25.711662075298438</v>
      </c>
      <c r="AD106" s="297"/>
      <c r="AE106" s="290" t="s">
        <v>530</v>
      </c>
      <c r="AF106" s="291">
        <v>5</v>
      </c>
      <c r="AG106" s="292" t="s">
        <v>1034</v>
      </c>
      <c r="AH106" s="293" t="s">
        <v>946</v>
      </c>
    </row>
    <row r="107" spans="1:41" s="107" customFormat="1">
      <c r="A107" s="242" t="s">
        <v>853</v>
      </c>
      <c r="B107" s="282" t="s">
        <v>357</v>
      </c>
      <c r="C107" s="121" t="s">
        <v>726</v>
      </c>
      <c r="D107" s="490" t="s">
        <v>1094</v>
      </c>
      <c r="E107" s="490" t="s">
        <v>1094</v>
      </c>
      <c r="F107" s="490" t="s">
        <v>883</v>
      </c>
      <c r="G107" s="411" t="s">
        <v>1094</v>
      </c>
      <c r="H107" s="411" t="s">
        <v>1094</v>
      </c>
      <c r="I107" s="490" t="s">
        <v>883</v>
      </c>
      <c r="J107" s="490" t="s">
        <v>1094</v>
      </c>
      <c r="K107" s="416">
        <f t="shared" si="8"/>
        <v>6.0810810810810808E-5</v>
      </c>
      <c r="L107" s="490" t="s">
        <v>883</v>
      </c>
      <c r="M107" s="401" t="s">
        <v>1094</v>
      </c>
      <c r="N107" s="401" t="s">
        <v>1094</v>
      </c>
      <c r="O107" s="490" t="s">
        <v>883</v>
      </c>
      <c r="P107" s="490" t="s">
        <v>883</v>
      </c>
      <c r="Q107" s="490" t="s">
        <v>883</v>
      </c>
      <c r="R107" s="401" t="s">
        <v>1094</v>
      </c>
      <c r="S107" s="401" t="s">
        <v>1094</v>
      </c>
      <c r="T107" s="490" t="s">
        <v>883</v>
      </c>
      <c r="U107" s="490" t="s">
        <v>883</v>
      </c>
      <c r="V107" s="284">
        <f t="shared" si="14"/>
        <v>0.51506756756756755</v>
      </c>
      <c r="W107" s="279"/>
      <c r="X107" s="279"/>
      <c r="Y107" s="287">
        <f t="shared" si="13"/>
        <v>11.25</v>
      </c>
      <c r="Z107" s="287">
        <v>180</v>
      </c>
      <c r="AA107" s="288">
        <v>185000</v>
      </c>
      <c r="AB107" s="261">
        <f t="shared" si="10"/>
        <v>4.2470156106519745</v>
      </c>
      <c r="AC107" s="261">
        <f t="shared" si="11"/>
        <v>67.952249770431592</v>
      </c>
      <c r="AD107" s="297"/>
      <c r="AE107" s="290" t="s">
        <v>863</v>
      </c>
      <c r="AF107" s="291">
        <v>5</v>
      </c>
      <c r="AG107" s="292" t="s">
        <v>1034</v>
      </c>
      <c r="AH107" s="293" t="s">
        <v>1240</v>
      </c>
    </row>
    <row r="108" spans="1:41" s="107" customFormat="1">
      <c r="A108" s="242" t="s">
        <v>853</v>
      </c>
      <c r="B108" s="297" t="s">
        <v>1249</v>
      </c>
      <c r="C108" s="213" t="s">
        <v>608</v>
      </c>
      <c r="D108" s="490" t="s">
        <v>883</v>
      </c>
      <c r="E108" s="491" t="s">
        <v>1094</v>
      </c>
      <c r="F108" s="490" t="s">
        <v>883</v>
      </c>
      <c r="G108" s="490" t="s">
        <v>883</v>
      </c>
      <c r="H108" s="411" t="s">
        <v>1094</v>
      </c>
      <c r="I108" s="490" t="s">
        <v>883</v>
      </c>
      <c r="J108" s="411" t="s">
        <v>1094</v>
      </c>
      <c r="K108" s="416">
        <f t="shared" si="8"/>
        <v>1.25E-4</v>
      </c>
      <c r="L108" s="490" t="s">
        <v>883</v>
      </c>
      <c r="M108" s="490" t="s">
        <v>883</v>
      </c>
      <c r="N108" s="490" t="s">
        <v>883</v>
      </c>
      <c r="O108" s="490" t="s">
        <v>883</v>
      </c>
      <c r="P108" s="401" t="s">
        <v>1094</v>
      </c>
      <c r="Q108" s="490" t="s">
        <v>883</v>
      </c>
      <c r="R108" s="490" t="s">
        <v>883</v>
      </c>
      <c r="S108" s="490" t="s">
        <v>883</v>
      </c>
      <c r="T108" s="490" t="s">
        <v>883</v>
      </c>
      <c r="U108" s="490" t="s">
        <v>883</v>
      </c>
      <c r="V108" s="284">
        <f t="shared" si="14"/>
        <v>0.39703125</v>
      </c>
      <c r="W108" s="279"/>
      <c r="X108" s="279"/>
      <c r="Y108" s="287">
        <f t="shared" si="13"/>
        <v>30</v>
      </c>
      <c r="Z108" s="287">
        <v>480</v>
      </c>
      <c r="AA108" s="295">
        <v>240000</v>
      </c>
      <c r="AB108" s="261">
        <f t="shared" si="10"/>
        <v>5.5096418732782366</v>
      </c>
      <c r="AC108" s="261">
        <f t="shared" si="11"/>
        <v>88.154269972451786</v>
      </c>
      <c r="AD108" s="297"/>
      <c r="AE108" s="290" t="s">
        <v>294</v>
      </c>
      <c r="AF108" s="296">
        <v>6</v>
      </c>
      <c r="AG108" s="298" t="s">
        <v>1034</v>
      </c>
      <c r="AH108" s="293" t="s">
        <v>950</v>
      </c>
    </row>
    <row r="109" spans="1:41" s="107" customFormat="1">
      <c r="A109" s="242" t="s">
        <v>853</v>
      </c>
      <c r="B109" s="282" t="s">
        <v>358</v>
      </c>
      <c r="C109" s="106" t="s">
        <v>798</v>
      </c>
      <c r="D109" s="491" t="s">
        <v>1094</v>
      </c>
      <c r="E109" s="490" t="s">
        <v>883</v>
      </c>
      <c r="F109" s="490" t="s">
        <v>883</v>
      </c>
      <c r="G109" s="411" t="s">
        <v>1094</v>
      </c>
      <c r="H109" s="411" t="s">
        <v>1094</v>
      </c>
      <c r="I109" s="490" t="s">
        <v>883</v>
      </c>
      <c r="J109" s="490" t="s">
        <v>1094</v>
      </c>
      <c r="K109" s="416">
        <f t="shared" si="8"/>
        <v>3.076923076923077E-4</v>
      </c>
      <c r="L109" s="401" t="s">
        <v>1094</v>
      </c>
      <c r="M109" s="401" t="s">
        <v>1094</v>
      </c>
      <c r="N109" s="401" t="s">
        <v>1094</v>
      </c>
      <c r="O109" s="401" t="s">
        <v>1094</v>
      </c>
      <c r="P109" s="401" t="s">
        <v>1094</v>
      </c>
      <c r="Q109" s="401" t="s">
        <v>1094</v>
      </c>
      <c r="R109" s="401" t="s">
        <v>1094</v>
      </c>
      <c r="S109" s="401" t="s">
        <v>1094</v>
      </c>
      <c r="T109" s="401" t="s">
        <v>1094</v>
      </c>
      <c r="U109" s="401" t="s">
        <v>1094</v>
      </c>
      <c r="V109" s="284">
        <f t="shared" si="14"/>
        <v>0.36649038461538463</v>
      </c>
      <c r="W109" s="279"/>
      <c r="X109" s="279"/>
      <c r="Y109" s="287">
        <f t="shared" si="13"/>
        <v>80</v>
      </c>
      <c r="Z109" s="287">
        <v>1280</v>
      </c>
      <c r="AA109" s="288">
        <v>260000</v>
      </c>
      <c r="AB109" s="261">
        <f t="shared" si="10"/>
        <v>5.9687786960514231</v>
      </c>
      <c r="AC109" s="261">
        <f t="shared" si="11"/>
        <v>95.500459136822769</v>
      </c>
      <c r="AD109" s="297"/>
      <c r="AE109" s="290" t="s">
        <v>525</v>
      </c>
      <c r="AF109" s="291">
        <v>8</v>
      </c>
      <c r="AG109" s="292" t="s">
        <v>1035</v>
      </c>
      <c r="AH109" s="293" t="s">
        <v>1236</v>
      </c>
    </row>
    <row r="110" spans="1:41" s="107" customFormat="1">
      <c r="A110" s="242" t="s">
        <v>853</v>
      </c>
      <c r="B110" s="282" t="s">
        <v>359</v>
      </c>
      <c r="C110" s="106" t="s">
        <v>811</v>
      </c>
      <c r="D110" s="491" t="s">
        <v>1094</v>
      </c>
      <c r="E110" s="490" t="s">
        <v>883</v>
      </c>
      <c r="F110" s="490" t="s">
        <v>883</v>
      </c>
      <c r="G110" s="411" t="s">
        <v>1094</v>
      </c>
      <c r="H110" s="411" t="s">
        <v>1094</v>
      </c>
      <c r="I110" s="490" t="s">
        <v>883</v>
      </c>
      <c r="J110" s="490" t="s">
        <v>883</v>
      </c>
      <c r="K110" s="416">
        <f t="shared" si="8"/>
        <v>1.0044642857142857E-4</v>
      </c>
      <c r="L110" s="401" t="s">
        <v>1094</v>
      </c>
      <c r="M110" s="401" t="s">
        <v>1094</v>
      </c>
      <c r="N110" s="401" t="s">
        <v>1094</v>
      </c>
      <c r="O110" s="401" t="s">
        <v>1094</v>
      </c>
      <c r="P110" s="401" t="s">
        <v>1094</v>
      </c>
      <c r="Q110" s="401" t="s">
        <v>1094</v>
      </c>
      <c r="R110" s="401" t="s">
        <v>1094</v>
      </c>
      <c r="S110" s="401" t="s">
        <v>1094</v>
      </c>
      <c r="T110" s="401" t="s">
        <v>1094</v>
      </c>
      <c r="U110" s="401" t="s">
        <v>1094</v>
      </c>
      <c r="V110" s="284">
        <f t="shared" si="14"/>
        <v>0.68062500000000004</v>
      </c>
      <c r="W110" s="279"/>
      <c r="X110" s="279"/>
      <c r="Y110" s="287">
        <f t="shared" si="13"/>
        <v>14.0625</v>
      </c>
      <c r="Z110" s="287">
        <v>225</v>
      </c>
      <c r="AA110" s="288">
        <v>140000</v>
      </c>
      <c r="AB110" s="261">
        <f t="shared" si="10"/>
        <v>3.2139577594123048</v>
      </c>
      <c r="AC110" s="261">
        <f t="shared" si="11"/>
        <v>51.423324150596876</v>
      </c>
      <c r="AD110" s="297"/>
      <c r="AE110" s="290" t="s">
        <v>293</v>
      </c>
      <c r="AF110" s="291">
        <v>0</v>
      </c>
      <c r="AG110" s="292" t="s">
        <v>1034</v>
      </c>
      <c r="AH110" s="293" t="s">
        <v>970</v>
      </c>
      <c r="AI110" s="209"/>
      <c r="AJ110" s="209"/>
      <c r="AK110" s="209"/>
      <c r="AL110" s="209"/>
      <c r="AM110" s="209"/>
      <c r="AN110" s="209"/>
      <c r="AO110" s="209"/>
    </row>
    <row r="111" spans="1:41" s="107" customFormat="1">
      <c r="A111" s="242" t="s">
        <v>853</v>
      </c>
      <c r="B111" s="297" t="s">
        <v>1250</v>
      </c>
      <c r="C111" s="121" t="s">
        <v>669</v>
      </c>
      <c r="D111" s="490" t="s">
        <v>883</v>
      </c>
      <c r="E111" s="490" t="s">
        <v>883</v>
      </c>
      <c r="F111" s="490" t="s">
        <v>1094</v>
      </c>
      <c r="G111" s="411" t="s">
        <v>883</v>
      </c>
      <c r="H111" s="411" t="s">
        <v>883</v>
      </c>
      <c r="I111" s="411" t="s">
        <v>1094</v>
      </c>
      <c r="J111" s="490" t="s">
        <v>883</v>
      </c>
      <c r="K111" s="416">
        <f t="shared" si="8"/>
        <v>4.2857142857142859E-3</v>
      </c>
      <c r="L111" s="490" t="s">
        <v>883</v>
      </c>
      <c r="M111" s="401" t="s">
        <v>1094</v>
      </c>
      <c r="N111" s="401" t="s">
        <v>1094</v>
      </c>
      <c r="O111" s="401" t="s">
        <v>1094</v>
      </c>
      <c r="P111" s="401" t="s">
        <v>1094</v>
      </c>
      <c r="Q111" s="490" t="s">
        <v>883</v>
      </c>
      <c r="R111" s="401" t="s">
        <v>1094</v>
      </c>
      <c r="S111" s="401" t="s">
        <v>1094</v>
      </c>
      <c r="T111" s="401" t="s">
        <v>1094</v>
      </c>
      <c r="U111" s="490" t="s">
        <v>883</v>
      </c>
      <c r="V111" s="284">
        <f t="shared" si="14"/>
        <v>34.03125</v>
      </c>
      <c r="W111" s="279"/>
      <c r="X111" s="279"/>
      <c r="Y111" s="287">
        <v>12</v>
      </c>
      <c r="Z111" s="287">
        <v>180</v>
      </c>
      <c r="AA111" s="288">
        <v>2800</v>
      </c>
      <c r="AB111" s="261">
        <f t="shared" si="10"/>
        <v>6.4279155188246104E-2</v>
      </c>
      <c r="AC111" s="261">
        <f t="shared" si="11"/>
        <v>1.0284664830119377</v>
      </c>
      <c r="AD111" s="297"/>
      <c r="AE111" s="290" t="s">
        <v>294</v>
      </c>
      <c r="AF111" s="291">
        <v>6</v>
      </c>
      <c r="AG111" s="292" t="s">
        <v>1034</v>
      </c>
      <c r="AH111" s="293" t="s">
        <v>946</v>
      </c>
    </row>
    <row r="112" spans="1:41" s="107" customFormat="1">
      <c r="A112" s="242" t="s">
        <v>853</v>
      </c>
      <c r="B112" s="282" t="s">
        <v>815</v>
      </c>
      <c r="C112" s="121" t="s">
        <v>620</v>
      </c>
      <c r="D112" s="490" t="s">
        <v>1094</v>
      </c>
      <c r="E112" s="490" t="s">
        <v>1094</v>
      </c>
      <c r="F112" s="490" t="s">
        <v>883</v>
      </c>
      <c r="G112" s="411" t="s">
        <v>1094</v>
      </c>
      <c r="H112" s="411" t="s">
        <v>1094</v>
      </c>
      <c r="I112" s="490" t="s">
        <v>883</v>
      </c>
      <c r="J112" s="490" t="s">
        <v>883</v>
      </c>
      <c r="K112" s="416">
        <f t="shared" si="8"/>
        <v>8.3333333333333331E-5</v>
      </c>
      <c r="L112" s="490" t="s">
        <v>883</v>
      </c>
      <c r="M112" s="401" t="s">
        <v>1094</v>
      </c>
      <c r="N112" s="401" t="s">
        <v>1094</v>
      </c>
      <c r="O112" s="490" t="s">
        <v>883</v>
      </c>
      <c r="P112" s="401" t="s">
        <v>1094</v>
      </c>
      <c r="Q112" s="490" t="s">
        <v>883</v>
      </c>
      <c r="R112" s="490" t="s">
        <v>883</v>
      </c>
      <c r="S112" s="401" t="s">
        <v>1094</v>
      </c>
      <c r="T112" s="490" t="s">
        <v>883</v>
      </c>
      <c r="U112" s="490" t="s">
        <v>883</v>
      </c>
      <c r="V112" s="284">
        <f t="shared" si="14"/>
        <v>0.105875</v>
      </c>
      <c r="W112" s="279"/>
      <c r="X112" s="279"/>
      <c r="Y112" s="287">
        <f>SUM(Z112/16)</f>
        <v>75</v>
      </c>
      <c r="Z112" s="287">
        <v>1200</v>
      </c>
      <c r="AA112" s="288">
        <v>900000</v>
      </c>
      <c r="AB112" s="261">
        <f t="shared" si="10"/>
        <v>20.66115702479339</v>
      </c>
      <c r="AC112" s="261">
        <f t="shared" si="11"/>
        <v>330.57851239669424</v>
      </c>
      <c r="AD112" s="297"/>
      <c r="AE112" s="290" t="s">
        <v>294</v>
      </c>
      <c r="AF112" s="291">
        <v>10</v>
      </c>
      <c r="AG112" s="292" t="s">
        <v>1034</v>
      </c>
      <c r="AH112" s="293" t="s">
        <v>979</v>
      </c>
    </row>
    <row r="113" spans="1:41" s="107" customFormat="1">
      <c r="A113" s="242" t="s">
        <v>853</v>
      </c>
      <c r="B113" s="282" t="s">
        <v>821</v>
      </c>
      <c r="C113" s="121" t="s">
        <v>670</v>
      </c>
      <c r="D113" s="490" t="s">
        <v>1094</v>
      </c>
      <c r="E113" s="490" t="s">
        <v>883</v>
      </c>
      <c r="F113" s="490" t="s">
        <v>883</v>
      </c>
      <c r="G113" s="411" t="s">
        <v>883</v>
      </c>
      <c r="H113" s="411" t="s">
        <v>1094</v>
      </c>
      <c r="I113" s="490" t="s">
        <v>883</v>
      </c>
      <c r="J113" s="490" t="s">
        <v>1094</v>
      </c>
      <c r="K113" s="416">
        <f t="shared" si="8"/>
        <v>8.8888888888888893E-4</v>
      </c>
      <c r="L113" s="490" t="s">
        <v>883</v>
      </c>
      <c r="M113" s="401" t="s">
        <v>1094</v>
      </c>
      <c r="N113" s="401" t="s">
        <v>1094</v>
      </c>
      <c r="O113" s="490" t="s">
        <v>883</v>
      </c>
      <c r="P113" s="490" t="s">
        <v>883</v>
      </c>
      <c r="Q113" s="490" t="s">
        <v>883</v>
      </c>
      <c r="R113" s="490" t="s">
        <v>883</v>
      </c>
      <c r="S113" s="490" t="s">
        <v>883</v>
      </c>
      <c r="T113" s="490" t="s">
        <v>883</v>
      </c>
      <c r="U113" s="490" t="s">
        <v>883</v>
      </c>
      <c r="V113" s="284">
        <f t="shared" si="14"/>
        <v>1.0587500000000001</v>
      </c>
      <c r="W113" s="279"/>
      <c r="X113" s="279"/>
      <c r="Y113" s="287">
        <f>SUM(Z113/16)</f>
        <v>80</v>
      </c>
      <c r="Z113" s="287">
        <v>1280</v>
      </c>
      <c r="AA113" s="288">
        <v>90000</v>
      </c>
      <c r="AB113" s="261">
        <f t="shared" si="10"/>
        <v>2.0661157024793386</v>
      </c>
      <c r="AC113" s="261">
        <f t="shared" si="11"/>
        <v>33.057851239669418</v>
      </c>
      <c r="AD113" s="297"/>
      <c r="AE113" s="290" t="s">
        <v>294</v>
      </c>
      <c r="AF113" s="291">
        <v>10</v>
      </c>
      <c r="AG113" s="292" t="s">
        <v>1034</v>
      </c>
      <c r="AH113" s="293" t="s">
        <v>1236</v>
      </c>
    </row>
    <row r="114" spans="1:41" s="107" customFormat="1">
      <c r="A114" s="242" t="s">
        <v>853</v>
      </c>
      <c r="B114" s="297" t="s">
        <v>1251</v>
      </c>
      <c r="C114" s="121" t="s">
        <v>780</v>
      </c>
      <c r="D114" s="490" t="s">
        <v>1094</v>
      </c>
      <c r="E114" s="495" t="s">
        <v>1094</v>
      </c>
      <c r="F114" s="490" t="s">
        <v>883</v>
      </c>
      <c r="G114" s="411" t="s">
        <v>1094</v>
      </c>
      <c r="H114" s="411" t="s">
        <v>1094</v>
      </c>
      <c r="I114" s="490" t="s">
        <v>883</v>
      </c>
      <c r="J114" s="490" t="s">
        <v>1094</v>
      </c>
      <c r="K114" s="416">
        <f t="shared" si="8"/>
        <v>0.05</v>
      </c>
      <c r="L114" s="490" t="s">
        <v>883</v>
      </c>
      <c r="M114" s="401" t="s">
        <v>1094</v>
      </c>
      <c r="N114" s="401" t="s">
        <v>1094</v>
      </c>
      <c r="O114" s="401" t="s">
        <v>1094</v>
      </c>
      <c r="P114" s="401" t="s">
        <v>1094</v>
      </c>
      <c r="Q114" s="401" t="s">
        <v>1094</v>
      </c>
      <c r="R114" s="490" t="s">
        <v>883</v>
      </c>
      <c r="S114" s="490" t="s">
        <v>883</v>
      </c>
      <c r="T114" s="490" t="s">
        <v>883</v>
      </c>
      <c r="U114" s="401" t="s">
        <v>1094</v>
      </c>
      <c r="V114" s="284">
        <f t="shared" si="14"/>
        <v>7.9406249999999998</v>
      </c>
      <c r="W114" s="279"/>
      <c r="X114" s="279"/>
      <c r="Y114" s="287">
        <f>SUM(Z114/16)</f>
        <v>600</v>
      </c>
      <c r="Z114" s="287">
        <v>9600</v>
      </c>
      <c r="AA114" s="288">
        <v>12000</v>
      </c>
      <c r="AB114" s="261">
        <f t="shared" si="10"/>
        <v>0.27548209366391185</v>
      </c>
      <c r="AC114" s="261">
        <f t="shared" si="11"/>
        <v>4.4077134986225897</v>
      </c>
      <c r="AD114" s="297"/>
      <c r="AE114" s="290" t="s">
        <v>290</v>
      </c>
      <c r="AF114" s="291">
        <v>8</v>
      </c>
      <c r="AG114" s="292" t="s">
        <v>1034</v>
      </c>
      <c r="AH114" s="320" t="s">
        <v>977</v>
      </c>
    </row>
    <row r="115" spans="1:41" s="107" customFormat="1">
      <c r="A115" s="242" t="s">
        <v>853</v>
      </c>
      <c r="B115" s="297" t="s">
        <v>1252</v>
      </c>
      <c r="C115" s="121" t="s">
        <v>748</v>
      </c>
      <c r="D115" s="490" t="s">
        <v>1094</v>
      </c>
      <c r="E115" s="490" t="s">
        <v>1094</v>
      </c>
      <c r="F115" s="490" t="s">
        <v>883</v>
      </c>
      <c r="G115" s="490" t="s">
        <v>883</v>
      </c>
      <c r="H115" s="411" t="s">
        <v>1094</v>
      </c>
      <c r="I115" s="490" t="s">
        <v>883</v>
      </c>
      <c r="J115" s="411" t="s">
        <v>1094</v>
      </c>
      <c r="K115" s="416">
        <f t="shared" si="8"/>
        <v>1.7142857142857142E-3</v>
      </c>
      <c r="L115" s="490" t="s">
        <v>883</v>
      </c>
      <c r="M115" s="401" t="s">
        <v>1094</v>
      </c>
      <c r="N115" s="401" t="s">
        <v>1094</v>
      </c>
      <c r="O115" s="490" t="s">
        <v>883</v>
      </c>
      <c r="P115" s="401" t="s">
        <v>1094</v>
      </c>
      <c r="Q115" s="490" t="s">
        <v>883</v>
      </c>
      <c r="R115" s="490" t="s">
        <v>883</v>
      </c>
      <c r="S115" s="401" t="s">
        <v>1094</v>
      </c>
      <c r="T115" s="490" t="s">
        <v>883</v>
      </c>
      <c r="U115" s="490" t="s">
        <v>883</v>
      </c>
      <c r="V115" s="284">
        <f t="shared" si="14"/>
        <v>1.3612500000000001</v>
      </c>
      <c r="W115" s="279"/>
      <c r="X115" s="279"/>
      <c r="Y115" s="287">
        <f>SUM(Z115/16)</f>
        <v>120</v>
      </c>
      <c r="Z115" s="287">
        <v>1920</v>
      </c>
      <c r="AA115" s="288">
        <v>70000</v>
      </c>
      <c r="AB115" s="261">
        <f t="shared" si="10"/>
        <v>1.6069788797061524</v>
      </c>
      <c r="AC115" s="261">
        <f t="shared" si="11"/>
        <v>25.711662075298438</v>
      </c>
      <c r="AD115" s="297"/>
      <c r="AE115" s="290" t="s">
        <v>863</v>
      </c>
      <c r="AF115" s="291">
        <v>7</v>
      </c>
      <c r="AG115" s="292" t="s">
        <v>1034</v>
      </c>
      <c r="AH115" s="293" t="s">
        <v>946</v>
      </c>
    </row>
    <row r="116" spans="1:41" s="107" customFormat="1">
      <c r="A116" s="529" t="s">
        <v>853</v>
      </c>
      <c r="B116" s="530" t="s">
        <v>11170</v>
      </c>
      <c r="C116" s="552" t="s">
        <v>11169</v>
      </c>
      <c r="D116" s="553" t="s">
        <v>883</v>
      </c>
      <c r="E116" s="547" t="s">
        <v>883</v>
      </c>
      <c r="F116" s="547" t="s">
        <v>1094</v>
      </c>
      <c r="G116" s="547" t="s">
        <v>883</v>
      </c>
      <c r="H116" s="548" t="s">
        <v>883</v>
      </c>
      <c r="I116" s="547" t="s">
        <v>1094</v>
      </c>
      <c r="J116" s="548" t="s">
        <v>883</v>
      </c>
      <c r="K116" s="533">
        <f t="shared" si="8"/>
        <v>6.6600000000000001E-3</v>
      </c>
      <c r="L116" s="547" t="s">
        <v>1094</v>
      </c>
      <c r="M116" s="533" t="s">
        <v>1094</v>
      </c>
      <c r="N116" s="547" t="s">
        <v>1094</v>
      </c>
      <c r="O116" s="547" t="s">
        <v>1094</v>
      </c>
      <c r="P116" s="547" t="s">
        <v>1094</v>
      </c>
      <c r="Q116" s="547" t="s">
        <v>1094</v>
      </c>
      <c r="R116" s="533" t="s">
        <v>1094</v>
      </c>
      <c r="S116" s="533" t="s">
        <v>1094</v>
      </c>
      <c r="T116" s="547" t="s">
        <v>1094</v>
      </c>
      <c r="U116" s="547" t="s">
        <v>1094</v>
      </c>
      <c r="V116" s="534">
        <f t="shared" si="14"/>
        <v>1.9057500000000001</v>
      </c>
      <c r="W116" s="549"/>
      <c r="X116" s="549"/>
      <c r="Y116" s="537">
        <v>333</v>
      </c>
      <c r="Z116" s="537">
        <v>5333</v>
      </c>
      <c r="AA116" s="538">
        <v>50000</v>
      </c>
      <c r="AB116" s="516">
        <f t="shared" si="10"/>
        <v>1.1478420569329659</v>
      </c>
      <c r="AC116" s="516">
        <f t="shared" si="11"/>
        <v>18.365472910927455</v>
      </c>
      <c r="AD116" s="530"/>
      <c r="AE116" s="540" t="s">
        <v>294</v>
      </c>
      <c r="AF116" s="541">
        <v>8</v>
      </c>
      <c r="AG116" s="542" t="s">
        <v>1034</v>
      </c>
      <c r="AH116" s="543" t="s">
        <v>946</v>
      </c>
    </row>
    <row r="117" spans="1:41" s="107" customFormat="1">
      <c r="A117" s="529" t="s">
        <v>853</v>
      </c>
      <c r="B117" s="530" t="s">
        <v>11219</v>
      </c>
      <c r="C117" s="552" t="s">
        <v>6227</v>
      </c>
      <c r="D117" s="547" t="s">
        <v>1094</v>
      </c>
      <c r="E117" s="553" t="s">
        <v>1094</v>
      </c>
      <c r="F117" s="547" t="s">
        <v>883</v>
      </c>
      <c r="G117" s="547" t="s">
        <v>1094</v>
      </c>
      <c r="H117" s="547" t="s">
        <v>1094</v>
      </c>
      <c r="I117" s="547" t="s">
        <v>883</v>
      </c>
      <c r="J117" s="548" t="s">
        <v>883</v>
      </c>
      <c r="K117" s="416">
        <f t="shared" si="8"/>
        <v>0</v>
      </c>
      <c r="L117" s="547" t="s">
        <v>1094</v>
      </c>
      <c r="M117" s="533" t="s">
        <v>1094</v>
      </c>
      <c r="N117" s="533" t="s">
        <v>1094</v>
      </c>
      <c r="O117" s="547" t="s">
        <v>1094</v>
      </c>
      <c r="P117" s="547" t="s">
        <v>1094</v>
      </c>
      <c r="Q117" s="547" t="s">
        <v>1094</v>
      </c>
      <c r="R117" s="533" t="s">
        <v>1094</v>
      </c>
      <c r="S117" s="533" t="s">
        <v>1094</v>
      </c>
      <c r="T117" s="547" t="s">
        <v>1094</v>
      </c>
      <c r="U117" s="547" t="s">
        <v>1094</v>
      </c>
      <c r="V117" s="284">
        <f t="shared" si="14"/>
        <v>9.4681538155802869</v>
      </c>
      <c r="W117" s="549"/>
      <c r="X117" s="549"/>
      <c r="Y117" s="537">
        <v>0</v>
      </c>
      <c r="Z117" s="537">
        <v>0</v>
      </c>
      <c r="AA117" s="538">
        <v>10064</v>
      </c>
      <c r="AB117" s="261">
        <f t="shared" si="10"/>
        <v>0.2310376492194674</v>
      </c>
      <c r="AC117" s="261">
        <f t="shared" si="11"/>
        <v>3.6966023875114784</v>
      </c>
      <c r="AD117" s="530"/>
      <c r="AE117" s="540" t="s">
        <v>290</v>
      </c>
      <c r="AF117" s="541">
        <v>7</v>
      </c>
      <c r="AG117" s="542" t="s">
        <v>1038</v>
      </c>
      <c r="AH117" s="543"/>
    </row>
    <row r="118" spans="1:41" s="107" customFormat="1">
      <c r="A118" s="529" t="s">
        <v>853</v>
      </c>
      <c r="B118" s="530" t="s">
        <v>11166</v>
      </c>
      <c r="C118" s="552" t="s">
        <v>8179</v>
      </c>
      <c r="D118" s="553" t="s">
        <v>1094</v>
      </c>
      <c r="E118" s="547" t="s">
        <v>883</v>
      </c>
      <c r="F118" s="547" t="s">
        <v>883</v>
      </c>
      <c r="G118" s="547" t="s">
        <v>883</v>
      </c>
      <c r="H118" s="548" t="s">
        <v>1094</v>
      </c>
      <c r="I118" s="547" t="s">
        <v>883</v>
      </c>
      <c r="J118" s="547" t="s">
        <v>1094</v>
      </c>
      <c r="K118" s="533">
        <f t="shared" si="8"/>
        <v>6.6666666666666671E-3</v>
      </c>
      <c r="L118" s="547" t="s">
        <v>883</v>
      </c>
      <c r="M118" s="547" t="s">
        <v>883</v>
      </c>
      <c r="N118" s="547" t="s">
        <v>883</v>
      </c>
      <c r="O118" s="547" t="s">
        <v>883</v>
      </c>
      <c r="P118" s="547" t="s">
        <v>883</v>
      </c>
      <c r="Q118" s="547" t="s">
        <v>883</v>
      </c>
      <c r="R118" s="547" t="s">
        <v>883</v>
      </c>
      <c r="S118" s="547" t="s">
        <v>1094</v>
      </c>
      <c r="T118" s="547" t="s">
        <v>883</v>
      </c>
      <c r="U118" s="547" t="s">
        <v>883</v>
      </c>
      <c r="V118" s="534">
        <f t="shared" si="14"/>
        <v>7.0583333333333327</v>
      </c>
      <c r="W118" s="535"/>
      <c r="X118" s="536"/>
      <c r="Y118" s="537">
        <v>90</v>
      </c>
      <c r="Z118" s="537">
        <v>1440</v>
      </c>
      <c r="AA118" s="538">
        <v>13500</v>
      </c>
      <c r="AB118" s="516">
        <f t="shared" si="10"/>
        <v>0.30991735537190085</v>
      </c>
      <c r="AC118" s="516">
        <f t="shared" si="11"/>
        <v>4.9586776859504136</v>
      </c>
      <c r="AD118" s="539"/>
      <c r="AE118" s="540" t="s">
        <v>294</v>
      </c>
      <c r="AF118" s="541">
        <v>10</v>
      </c>
      <c r="AG118" s="542" t="s">
        <v>1034</v>
      </c>
      <c r="AH118" s="543"/>
    </row>
    <row r="119" spans="1:41" s="107" customFormat="1">
      <c r="A119" s="242" t="s">
        <v>853</v>
      </c>
      <c r="B119" s="282" t="s">
        <v>360</v>
      </c>
      <c r="C119" s="121" t="s">
        <v>773</v>
      </c>
      <c r="D119" s="490" t="s">
        <v>1094</v>
      </c>
      <c r="E119" s="490" t="s">
        <v>1094</v>
      </c>
      <c r="F119" s="490" t="s">
        <v>883</v>
      </c>
      <c r="G119" s="411" t="s">
        <v>1094</v>
      </c>
      <c r="H119" s="411" t="s">
        <v>1094</v>
      </c>
      <c r="I119" s="490" t="s">
        <v>883</v>
      </c>
      <c r="J119" s="490" t="s">
        <v>883</v>
      </c>
      <c r="K119" s="416">
        <f t="shared" si="8"/>
        <v>1.6741071428571429E-4</v>
      </c>
      <c r="L119" s="401" t="s">
        <v>1094</v>
      </c>
      <c r="M119" s="401" t="s">
        <v>1094</v>
      </c>
      <c r="N119" s="401" t="s">
        <v>1094</v>
      </c>
      <c r="O119" s="401" t="s">
        <v>1094</v>
      </c>
      <c r="P119" s="401" t="s">
        <v>1094</v>
      </c>
      <c r="Q119" s="401" t="s">
        <v>1094</v>
      </c>
      <c r="R119" s="401" t="s">
        <v>1094</v>
      </c>
      <c r="S119" s="401" t="s">
        <v>1094</v>
      </c>
      <c r="T119" s="401" t="s">
        <v>1094</v>
      </c>
      <c r="U119" s="401" t="s">
        <v>1094</v>
      </c>
      <c r="V119" s="284">
        <f t="shared" si="14"/>
        <v>3.4031250000000002</v>
      </c>
      <c r="W119" s="279"/>
      <c r="X119" s="279"/>
      <c r="Y119" s="287">
        <f>SUM(Z119/16)</f>
        <v>4.6875</v>
      </c>
      <c r="Z119" s="287">
        <v>75</v>
      </c>
      <c r="AA119" s="288">
        <v>28000</v>
      </c>
      <c r="AB119" s="261">
        <f t="shared" si="10"/>
        <v>0.64279155188246095</v>
      </c>
      <c r="AC119" s="261">
        <f t="shared" si="11"/>
        <v>10.284664830119375</v>
      </c>
      <c r="AD119" s="297"/>
      <c r="AE119" s="290" t="s">
        <v>294</v>
      </c>
      <c r="AF119" s="291">
        <v>1</v>
      </c>
      <c r="AG119" s="292" t="s">
        <v>1034</v>
      </c>
      <c r="AH119" s="293" t="s">
        <v>1236</v>
      </c>
    </row>
    <row r="120" spans="1:41" s="209" customFormat="1">
      <c r="A120" s="242" t="s">
        <v>853</v>
      </c>
      <c r="B120" s="282" t="s">
        <v>816</v>
      </c>
      <c r="C120" s="121" t="s">
        <v>629</v>
      </c>
      <c r="D120" s="490" t="s">
        <v>883</v>
      </c>
      <c r="E120" s="490" t="s">
        <v>1094</v>
      </c>
      <c r="F120" s="490" t="s">
        <v>883</v>
      </c>
      <c r="G120" s="490" t="s">
        <v>883</v>
      </c>
      <c r="H120" s="490" t="s">
        <v>883</v>
      </c>
      <c r="I120" s="490" t="s">
        <v>883</v>
      </c>
      <c r="J120" s="411" t="s">
        <v>1094</v>
      </c>
      <c r="K120" s="416">
        <f t="shared" si="8"/>
        <v>1.0714285714285715E-3</v>
      </c>
      <c r="L120" s="401" t="s">
        <v>1094</v>
      </c>
      <c r="M120" s="401" t="s">
        <v>1094</v>
      </c>
      <c r="N120" s="401" t="s">
        <v>1094</v>
      </c>
      <c r="O120" s="401" t="s">
        <v>1094</v>
      </c>
      <c r="P120" s="401" t="s">
        <v>1094</v>
      </c>
      <c r="Q120" s="401" t="s">
        <v>1094</v>
      </c>
      <c r="R120" s="401" t="s">
        <v>1094</v>
      </c>
      <c r="S120" s="401" t="s">
        <v>1094</v>
      </c>
      <c r="T120" s="401" t="s">
        <v>1094</v>
      </c>
      <c r="U120" s="401" t="s">
        <v>1094</v>
      </c>
      <c r="V120" s="284">
        <f t="shared" si="14"/>
        <v>13.612500000000001</v>
      </c>
      <c r="W120" s="279"/>
      <c r="X120" s="279"/>
      <c r="Y120" s="287">
        <f>SUM(Z120/16)</f>
        <v>7.5</v>
      </c>
      <c r="Z120" s="287">
        <v>120</v>
      </c>
      <c r="AA120" s="288">
        <v>7000</v>
      </c>
      <c r="AB120" s="261">
        <f t="shared" si="10"/>
        <v>0.16069788797061524</v>
      </c>
      <c r="AC120" s="261">
        <f t="shared" si="11"/>
        <v>2.5711662075298438</v>
      </c>
      <c r="AD120" s="297"/>
      <c r="AE120" s="290" t="s">
        <v>294</v>
      </c>
      <c r="AF120" s="291">
        <v>4</v>
      </c>
      <c r="AG120" s="292" t="s">
        <v>1034</v>
      </c>
      <c r="AH120" s="293" t="s">
        <v>946</v>
      </c>
      <c r="AI120" s="107"/>
      <c r="AJ120" s="107"/>
      <c r="AK120" s="107"/>
      <c r="AL120" s="107"/>
      <c r="AM120" s="107"/>
      <c r="AN120" s="107"/>
      <c r="AO120" s="107"/>
    </row>
    <row r="121" spans="1:41" s="107" customFormat="1">
      <c r="A121" s="242" t="s">
        <v>853</v>
      </c>
      <c r="B121" s="282" t="s">
        <v>361</v>
      </c>
      <c r="C121" s="106" t="s">
        <v>603</v>
      </c>
      <c r="D121" s="491" t="s">
        <v>1094</v>
      </c>
      <c r="E121" s="490" t="s">
        <v>883</v>
      </c>
      <c r="F121" s="490" t="s">
        <v>883</v>
      </c>
      <c r="G121" s="411" t="s">
        <v>883</v>
      </c>
      <c r="H121" s="411" t="s">
        <v>1094</v>
      </c>
      <c r="I121" s="490" t="s">
        <v>883</v>
      </c>
      <c r="J121" s="490" t="s">
        <v>1094</v>
      </c>
      <c r="K121" s="416">
        <f t="shared" si="8"/>
        <v>5.6249999999999998E-3</v>
      </c>
      <c r="L121" s="490" t="s">
        <v>883</v>
      </c>
      <c r="M121" s="490" t="s">
        <v>883</v>
      </c>
      <c r="N121" s="490" t="s">
        <v>883</v>
      </c>
      <c r="O121" s="490" t="s">
        <v>883</v>
      </c>
      <c r="P121" s="490" t="s">
        <v>883</v>
      </c>
      <c r="Q121" s="490" t="s">
        <v>883</v>
      </c>
      <c r="R121" s="490" t="s">
        <v>1094</v>
      </c>
      <c r="S121" s="490" t="s">
        <v>883</v>
      </c>
      <c r="T121" s="490" t="s">
        <v>883</v>
      </c>
      <c r="U121" s="490" t="s">
        <v>883</v>
      </c>
      <c r="V121" s="284">
        <f t="shared" si="14"/>
        <v>19.057500000000001</v>
      </c>
      <c r="W121" s="279"/>
      <c r="X121" s="279"/>
      <c r="Y121" s="287">
        <f>SUM(Z121/16)</f>
        <v>28.125</v>
      </c>
      <c r="Z121" s="287">
        <v>450</v>
      </c>
      <c r="AA121" s="288">
        <v>5000</v>
      </c>
      <c r="AB121" s="261">
        <f t="shared" si="10"/>
        <v>0.1147842056932966</v>
      </c>
      <c r="AC121" s="261">
        <f t="shared" si="11"/>
        <v>1.8365472910927456</v>
      </c>
      <c r="AD121" s="297"/>
      <c r="AE121" s="290" t="s">
        <v>863</v>
      </c>
      <c r="AF121" s="321" t="s">
        <v>615</v>
      </c>
      <c r="AG121" s="298" t="s">
        <v>1037</v>
      </c>
      <c r="AH121" s="293" t="s">
        <v>957</v>
      </c>
    </row>
    <row r="122" spans="1:41" s="107" customFormat="1">
      <c r="A122" s="242" t="s">
        <v>853</v>
      </c>
      <c r="B122" s="282" t="s">
        <v>1314</v>
      </c>
      <c r="C122" s="121" t="s">
        <v>636</v>
      </c>
      <c r="D122" s="490" t="s">
        <v>1094</v>
      </c>
      <c r="E122" s="490" t="s">
        <v>1094</v>
      </c>
      <c r="F122" s="490" t="s">
        <v>883</v>
      </c>
      <c r="G122" s="411" t="s">
        <v>1094</v>
      </c>
      <c r="H122" s="411" t="s">
        <v>1094</v>
      </c>
      <c r="I122" s="490" t="s">
        <v>883</v>
      </c>
      <c r="J122" s="490" t="s">
        <v>883</v>
      </c>
      <c r="K122" s="416">
        <f t="shared" si="8"/>
        <v>3.4883720930232558E-3</v>
      </c>
      <c r="L122" s="401" t="s">
        <v>1094</v>
      </c>
      <c r="M122" s="401" t="s">
        <v>1094</v>
      </c>
      <c r="N122" s="401" t="s">
        <v>1094</v>
      </c>
      <c r="O122" s="401" t="s">
        <v>1094</v>
      </c>
      <c r="P122" s="401" t="s">
        <v>1094</v>
      </c>
      <c r="Q122" s="401" t="s">
        <v>1094</v>
      </c>
      <c r="R122" s="401" t="s">
        <v>1094</v>
      </c>
      <c r="S122" s="401" t="s">
        <v>1094</v>
      </c>
      <c r="T122" s="401" t="s">
        <v>1094</v>
      </c>
      <c r="U122" s="401" t="s">
        <v>1094</v>
      </c>
      <c r="V122" s="284">
        <f t="shared" si="14"/>
        <v>22.159883720930235</v>
      </c>
      <c r="W122" s="279"/>
      <c r="X122" s="279"/>
      <c r="Y122" s="287">
        <v>15</v>
      </c>
      <c r="Z122" s="287">
        <v>225</v>
      </c>
      <c r="AA122" s="288">
        <v>4300</v>
      </c>
      <c r="AB122" s="261">
        <f t="shared" si="10"/>
        <v>9.8714416896235072E-2</v>
      </c>
      <c r="AC122" s="261">
        <f t="shared" si="11"/>
        <v>1.5794306703397611</v>
      </c>
      <c r="AD122" s="297"/>
      <c r="AE122" s="290" t="s">
        <v>863</v>
      </c>
      <c r="AF122" s="291">
        <v>5</v>
      </c>
      <c r="AG122" s="298" t="s">
        <v>1037</v>
      </c>
      <c r="AH122" s="293" t="s">
        <v>980</v>
      </c>
    </row>
    <row r="123" spans="1:41" s="107" customFormat="1">
      <c r="A123" s="529" t="s">
        <v>853</v>
      </c>
      <c r="B123" s="530" t="s">
        <v>11154</v>
      </c>
      <c r="C123" s="555" t="s">
        <v>11155</v>
      </c>
      <c r="D123" s="531" t="s">
        <v>883</v>
      </c>
      <c r="E123" s="531" t="s">
        <v>1094</v>
      </c>
      <c r="F123" s="531" t="s">
        <v>1094</v>
      </c>
      <c r="G123" s="532" t="s">
        <v>1094</v>
      </c>
      <c r="H123" s="532" t="s">
        <v>1094</v>
      </c>
      <c r="I123" s="531" t="s">
        <v>883</v>
      </c>
      <c r="J123" s="531" t="s">
        <v>883</v>
      </c>
      <c r="K123" s="533">
        <f t="shared" si="8"/>
        <v>6.0000000000000001E-3</v>
      </c>
      <c r="L123" s="557" t="s">
        <v>1094</v>
      </c>
      <c r="M123" s="557" t="s">
        <v>1094</v>
      </c>
      <c r="N123" s="557" t="s">
        <v>1094</v>
      </c>
      <c r="O123" s="512" t="s">
        <v>1094</v>
      </c>
      <c r="P123" s="512" t="s">
        <v>1094</v>
      </c>
      <c r="Q123" s="512" t="s">
        <v>1094</v>
      </c>
      <c r="R123" s="512" t="s">
        <v>1094</v>
      </c>
      <c r="S123" s="512" t="s">
        <v>1094</v>
      </c>
      <c r="T123" s="512" t="s">
        <v>1094</v>
      </c>
      <c r="U123" s="512" t="s">
        <v>1094</v>
      </c>
      <c r="V123" s="534">
        <f t="shared" si="14"/>
        <v>4.7643750000000002</v>
      </c>
      <c r="W123" s="535"/>
      <c r="X123" s="536"/>
      <c r="Y123" s="537">
        <v>120</v>
      </c>
      <c r="Z123" s="537">
        <v>1920</v>
      </c>
      <c r="AA123" s="538">
        <v>20000</v>
      </c>
      <c r="AB123" s="516">
        <f t="shared" si="10"/>
        <v>0.4591368227731864</v>
      </c>
      <c r="AC123" s="516">
        <f t="shared" si="11"/>
        <v>7.3461891643709825</v>
      </c>
      <c r="AD123" s="539"/>
      <c r="AE123" s="540" t="s">
        <v>863</v>
      </c>
      <c r="AF123" s="541">
        <v>1</v>
      </c>
      <c r="AG123" s="542" t="s">
        <v>1034</v>
      </c>
      <c r="AH123" s="543"/>
    </row>
    <row r="124" spans="1:41" s="107" customFormat="1">
      <c r="A124" s="242" t="s">
        <v>853</v>
      </c>
      <c r="B124" s="282" t="s">
        <v>362</v>
      </c>
      <c r="C124" s="121" t="s">
        <v>11304</v>
      </c>
      <c r="D124" s="490" t="s">
        <v>1094</v>
      </c>
      <c r="E124" s="490" t="s">
        <v>1094</v>
      </c>
      <c r="F124" s="490" t="s">
        <v>883</v>
      </c>
      <c r="G124" s="490" t="s">
        <v>1094</v>
      </c>
      <c r="H124" s="411" t="s">
        <v>1094</v>
      </c>
      <c r="I124" s="490" t="s">
        <v>883</v>
      </c>
      <c r="J124" s="411" t="s">
        <v>883</v>
      </c>
      <c r="K124" s="416">
        <f t="shared" si="8"/>
        <v>4.1666666666666669E-4</v>
      </c>
      <c r="L124" s="490" t="s">
        <v>883</v>
      </c>
      <c r="M124" s="490" t="s">
        <v>883</v>
      </c>
      <c r="N124" s="490" t="s">
        <v>883</v>
      </c>
      <c r="O124" s="490" t="s">
        <v>1094</v>
      </c>
      <c r="P124" s="490" t="s">
        <v>883</v>
      </c>
      <c r="Q124" s="490" t="s">
        <v>1094</v>
      </c>
      <c r="R124" s="490" t="s">
        <v>883</v>
      </c>
      <c r="S124" s="490" t="s">
        <v>883</v>
      </c>
      <c r="T124" s="490" t="s">
        <v>883</v>
      </c>
      <c r="U124" s="490" t="s">
        <v>883</v>
      </c>
      <c r="V124" s="284">
        <f t="shared" si="14"/>
        <v>0.31762499999999999</v>
      </c>
      <c r="W124" s="279"/>
      <c r="X124" s="279"/>
      <c r="Y124" s="287">
        <f t="shared" ref="Y124:Y135" si="15">SUM(Z124/16)</f>
        <v>125</v>
      </c>
      <c r="Z124" s="287">
        <v>2000</v>
      </c>
      <c r="AA124" s="288">
        <v>300000</v>
      </c>
      <c r="AB124" s="261">
        <f t="shared" si="10"/>
        <v>6.887052341597796</v>
      </c>
      <c r="AC124" s="261">
        <f t="shared" si="11"/>
        <v>110.19283746556474</v>
      </c>
      <c r="AD124" s="297"/>
      <c r="AE124" s="478" t="s">
        <v>11303</v>
      </c>
      <c r="AF124" s="291">
        <v>7</v>
      </c>
      <c r="AG124" s="292" t="s">
        <v>1039</v>
      </c>
      <c r="AH124" s="293" t="s">
        <v>971</v>
      </c>
    </row>
    <row r="125" spans="1:41" s="107" customFormat="1">
      <c r="A125" s="242" t="s">
        <v>853</v>
      </c>
      <c r="B125" s="282" t="s">
        <v>363</v>
      </c>
      <c r="C125" s="121" t="s">
        <v>690</v>
      </c>
      <c r="D125" s="495" t="s">
        <v>1094</v>
      </c>
      <c r="E125" s="490" t="s">
        <v>1094</v>
      </c>
      <c r="F125" s="490" t="s">
        <v>883</v>
      </c>
      <c r="G125" s="411" t="s">
        <v>883</v>
      </c>
      <c r="H125" s="411" t="s">
        <v>1094</v>
      </c>
      <c r="I125" s="490" t="s">
        <v>883</v>
      </c>
      <c r="J125" s="411" t="s">
        <v>1094</v>
      </c>
      <c r="K125" s="416">
        <f t="shared" si="8"/>
        <v>4.0000000000000003E-5</v>
      </c>
      <c r="L125" s="490" t="s">
        <v>883</v>
      </c>
      <c r="M125" s="401" t="s">
        <v>1094</v>
      </c>
      <c r="N125" s="401" t="s">
        <v>1094</v>
      </c>
      <c r="O125" s="490" t="s">
        <v>883</v>
      </c>
      <c r="P125" s="490" t="s">
        <v>883</v>
      </c>
      <c r="Q125" s="490" t="s">
        <v>883</v>
      </c>
      <c r="R125" s="401" t="s">
        <v>1094</v>
      </c>
      <c r="S125" s="401" t="s">
        <v>1094</v>
      </c>
      <c r="T125" s="401" t="s">
        <v>1094</v>
      </c>
      <c r="U125" s="401" t="s">
        <v>1094</v>
      </c>
      <c r="V125" s="284">
        <f t="shared" si="14"/>
        <v>0.19057499999999999</v>
      </c>
      <c r="W125" s="279"/>
      <c r="X125" s="279"/>
      <c r="Y125" s="287">
        <f t="shared" si="15"/>
        <v>20</v>
      </c>
      <c r="Z125" s="287">
        <v>320</v>
      </c>
      <c r="AA125" s="288">
        <v>500000</v>
      </c>
      <c r="AB125" s="261">
        <f t="shared" si="10"/>
        <v>11.478420569329661</v>
      </c>
      <c r="AC125" s="261">
        <f t="shared" si="11"/>
        <v>183.65472910927457</v>
      </c>
      <c r="AD125" s="297"/>
      <c r="AE125" s="290" t="s">
        <v>294</v>
      </c>
      <c r="AF125" s="291">
        <v>2</v>
      </c>
      <c r="AG125" s="292" t="s">
        <v>1036</v>
      </c>
      <c r="AH125" s="293" t="s">
        <v>958</v>
      </c>
    </row>
    <row r="126" spans="1:41" s="107" customFormat="1">
      <c r="A126" s="242" t="s">
        <v>853</v>
      </c>
      <c r="B126" s="282" t="s">
        <v>878</v>
      </c>
      <c r="C126" s="121" t="s">
        <v>775</v>
      </c>
      <c r="D126" s="490" t="s">
        <v>883</v>
      </c>
      <c r="E126" s="490" t="s">
        <v>883</v>
      </c>
      <c r="F126" s="490" t="s">
        <v>1094</v>
      </c>
      <c r="G126" s="411" t="s">
        <v>1094</v>
      </c>
      <c r="H126" s="411" t="s">
        <v>1094</v>
      </c>
      <c r="I126" s="411" t="s">
        <v>1094</v>
      </c>
      <c r="J126" s="490" t="s">
        <v>883</v>
      </c>
      <c r="K126" s="416">
        <f t="shared" si="8"/>
        <v>5.8593749999999998E-4</v>
      </c>
      <c r="L126" s="401" t="s">
        <v>1094</v>
      </c>
      <c r="M126" s="401" t="s">
        <v>1094</v>
      </c>
      <c r="N126" s="401" t="s">
        <v>1094</v>
      </c>
      <c r="O126" s="401" t="s">
        <v>1094</v>
      </c>
      <c r="P126" s="401" t="s">
        <v>1094</v>
      </c>
      <c r="Q126" s="401" t="s">
        <v>1094</v>
      </c>
      <c r="R126" s="401" t="s">
        <v>1094</v>
      </c>
      <c r="S126" s="401" t="s">
        <v>1094</v>
      </c>
      <c r="T126" s="401" t="s">
        <v>1094</v>
      </c>
      <c r="U126" s="401" t="s">
        <v>1094</v>
      </c>
      <c r="V126" s="284">
        <f t="shared" si="14"/>
        <v>3.9703124999999999</v>
      </c>
      <c r="W126" s="279"/>
      <c r="X126" s="279"/>
      <c r="Y126" s="287">
        <f t="shared" si="15"/>
        <v>14.0625</v>
      </c>
      <c r="Z126" s="287">
        <v>225</v>
      </c>
      <c r="AA126" s="288">
        <v>24000</v>
      </c>
      <c r="AB126" s="261">
        <f t="shared" si="10"/>
        <v>0.55096418732782371</v>
      </c>
      <c r="AC126" s="261">
        <f t="shared" si="11"/>
        <v>8.8154269972451793</v>
      </c>
      <c r="AD126" s="297"/>
      <c r="AE126" s="290" t="s">
        <v>294</v>
      </c>
      <c r="AF126" s="291">
        <v>1</v>
      </c>
      <c r="AG126" s="292" t="s">
        <v>1034</v>
      </c>
      <c r="AH126" s="293" t="s">
        <v>946</v>
      </c>
    </row>
    <row r="127" spans="1:41" s="107" customFormat="1">
      <c r="A127" s="242" t="s">
        <v>853</v>
      </c>
      <c r="B127" s="282" t="s">
        <v>364</v>
      </c>
      <c r="C127" s="106" t="s">
        <v>799</v>
      </c>
      <c r="D127" s="492" t="s">
        <v>883</v>
      </c>
      <c r="E127" s="491" t="s">
        <v>1094</v>
      </c>
      <c r="F127" s="493" t="s">
        <v>1094</v>
      </c>
      <c r="G127" s="492" t="s">
        <v>883</v>
      </c>
      <c r="H127" s="283" t="s">
        <v>1094</v>
      </c>
      <c r="I127" s="492" t="s">
        <v>883</v>
      </c>
      <c r="J127" s="283" t="s">
        <v>1094</v>
      </c>
      <c r="K127" s="416">
        <f t="shared" si="8"/>
        <v>5.6250000000000001E-2</v>
      </c>
      <c r="L127" s="416" t="s">
        <v>1094</v>
      </c>
      <c r="M127" s="416" t="s">
        <v>1094</v>
      </c>
      <c r="N127" s="416" t="s">
        <v>1094</v>
      </c>
      <c r="O127" s="416" t="s">
        <v>1094</v>
      </c>
      <c r="P127" s="416" t="s">
        <v>1094</v>
      </c>
      <c r="Q127" s="416" t="s">
        <v>1094</v>
      </c>
      <c r="R127" s="416" t="s">
        <v>1094</v>
      </c>
      <c r="S127" s="416" t="s">
        <v>1094</v>
      </c>
      <c r="T127" s="416" t="s">
        <v>1094</v>
      </c>
      <c r="U127" s="416" t="s">
        <v>1094</v>
      </c>
      <c r="V127" s="284">
        <f t="shared" si="14"/>
        <v>190.57500000000002</v>
      </c>
      <c r="W127" s="279"/>
      <c r="X127" s="279"/>
      <c r="Y127" s="287">
        <f t="shared" si="15"/>
        <v>28.125</v>
      </c>
      <c r="Z127" s="287">
        <v>450</v>
      </c>
      <c r="AA127" s="288">
        <v>500</v>
      </c>
      <c r="AB127" s="261">
        <f t="shared" si="10"/>
        <v>1.1478420569329659E-2</v>
      </c>
      <c r="AC127" s="261">
        <f t="shared" si="11"/>
        <v>0.18365472910927455</v>
      </c>
      <c r="AD127" s="297"/>
      <c r="AE127" s="290" t="s">
        <v>292</v>
      </c>
      <c r="AF127" s="291">
        <v>4</v>
      </c>
      <c r="AG127" s="292" t="s">
        <v>1034</v>
      </c>
      <c r="AH127" s="293" t="s">
        <v>953</v>
      </c>
      <c r="AI127" s="209"/>
      <c r="AJ127" s="209"/>
      <c r="AK127" s="209"/>
      <c r="AL127" s="209"/>
      <c r="AM127" s="209"/>
      <c r="AN127" s="209"/>
      <c r="AO127" s="209"/>
    </row>
    <row r="128" spans="1:41" s="107" customFormat="1">
      <c r="A128" s="242" t="s">
        <v>853</v>
      </c>
      <c r="B128" s="282" t="s">
        <v>503</v>
      </c>
      <c r="C128" s="121" t="s">
        <v>718</v>
      </c>
      <c r="D128" s="490" t="s">
        <v>883</v>
      </c>
      <c r="E128" s="490" t="s">
        <v>1094</v>
      </c>
      <c r="F128" s="490" t="s">
        <v>883</v>
      </c>
      <c r="G128" s="411" t="s">
        <v>883</v>
      </c>
      <c r="H128" s="411" t="s">
        <v>1094</v>
      </c>
      <c r="I128" s="411" t="s">
        <v>883</v>
      </c>
      <c r="J128" s="411" t="s">
        <v>1094</v>
      </c>
      <c r="K128" s="416">
        <f t="shared" si="8"/>
        <v>4.1666666666666666E-3</v>
      </c>
      <c r="L128" s="490" t="s">
        <v>883</v>
      </c>
      <c r="M128" s="401" t="s">
        <v>1094</v>
      </c>
      <c r="N128" s="401" t="s">
        <v>1094</v>
      </c>
      <c r="O128" s="401" t="s">
        <v>1094</v>
      </c>
      <c r="P128" s="401" t="s">
        <v>1094</v>
      </c>
      <c r="Q128" s="490" t="s">
        <v>883</v>
      </c>
      <c r="R128" s="401" t="s">
        <v>1094</v>
      </c>
      <c r="S128" s="401" t="s">
        <v>1094</v>
      </c>
      <c r="T128" s="490" t="s">
        <v>883</v>
      </c>
      <c r="U128" s="490" t="s">
        <v>883</v>
      </c>
      <c r="V128" s="284">
        <f t="shared" si="14"/>
        <v>5.2937500000000002</v>
      </c>
      <c r="W128" s="279"/>
      <c r="X128" s="279"/>
      <c r="Y128" s="287">
        <f t="shared" si="15"/>
        <v>75</v>
      </c>
      <c r="Z128" s="287">
        <v>1200</v>
      </c>
      <c r="AA128" s="288">
        <v>18000</v>
      </c>
      <c r="AB128" s="261">
        <f t="shared" si="10"/>
        <v>0.41322314049586778</v>
      </c>
      <c r="AC128" s="261">
        <f t="shared" si="11"/>
        <v>6.6115702479338845</v>
      </c>
      <c r="AD128" s="297"/>
      <c r="AE128" s="290" t="s">
        <v>525</v>
      </c>
      <c r="AF128" s="291">
        <v>6</v>
      </c>
      <c r="AG128" s="292" t="s">
        <v>1034</v>
      </c>
      <c r="AH128" s="293" t="s">
        <v>946</v>
      </c>
    </row>
    <row r="129" spans="1:41" s="107" customFormat="1">
      <c r="A129" s="242" t="s">
        <v>853</v>
      </c>
      <c r="B129" s="292" t="s">
        <v>3</v>
      </c>
      <c r="C129" s="108" t="s">
        <v>241</v>
      </c>
      <c r="D129" s="490" t="s">
        <v>883</v>
      </c>
      <c r="E129" s="497" t="s">
        <v>1094</v>
      </c>
      <c r="F129" s="490" t="s">
        <v>883</v>
      </c>
      <c r="G129" s="490" t="s">
        <v>883</v>
      </c>
      <c r="H129" s="411" t="s">
        <v>1094</v>
      </c>
      <c r="I129" s="490" t="s">
        <v>883</v>
      </c>
      <c r="J129" s="411" t="s">
        <v>1094</v>
      </c>
      <c r="K129" s="416">
        <f t="shared" si="8"/>
        <v>5.3571428571428572E-3</v>
      </c>
      <c r="L129" s="401" t="s">
        <v>1094</v>
      </c>
      <c r="M129" s="401" t="s">
        <v>1094</v>
      </c>
      <c r="N129" s="401" t="s">
        <v>1094</v>
      </c>
      <c r="O129" s="401" t="s">
        <v>1094</v>
      </c>
      <c r="P129" s="401" t="s">
        <v>1094</v>
      </c>
      <c r="Q129" s="401" t="s">
        <v>1094</v>
      </c>
      <c r="R129" s="401" t="s">
        <v>1094</v>
      </c>
      <c r="S129" s="401" t="s">
        <v>1094</v>
      </c>
      <c r="T129" s="401" t="s">
        <v>1094</v>
      </c>
      <c r="U129" s="401" t="s">
        <v>1094</v>
      </c>
      <c r="V129" s="284">
        <f t="shared" si="14"/>
        <v>27.225000000000001</v>
      </c>
      <c r="W129" s="299"/>
      <c r="X129" s="299"/>
      <c r="Y129" s="287">
        <f t="shared" si="15"/>
        <v>18.75</v>
      </c>
      <c r="Z129" s="287">
        <v>300</v>
      </c>
      <c r="AA129" s="288">
        <v>3500</v>
      </c>
      <c r="AB129" s="261">
        <f t="shared" si="10"/>
        <v>8.0348943985307619E-2</v>
      </c>
      <c r="AC129" s="261">
        <f t="shared" si="11"/>
        <v>1.2855831037649219</v>
      </c>
      <c r="AD129" s="282"/>
      <c r="AE129" s="290" t="s">
        <v>294</v>
      </c>
      <c r="AF129" s="291">
        <v>5</v>
      </c>
      <c r="AG129" s="292" t="s">
        <v>1034</v>
      </c>
      <c r="AH129" s="293" t="s">
        <v>963</v>
      </c>
    </row>
    <row r="130" spans="1:41" s="107" customFormat="1">
      <c r="A130" s="242" t="s">
        <v>853</v>
      </c>
      <c r="B130" s="282" t="s">
        <v>365</v>
      </c>
      <c r="C130" s="108" t="s">
        <v>244</v>
      </c>
      <c r="D130" s="497" t="s">
        <v>1094</v>
      </c>
      <c r="E130" s="490" t="s">
        <v>883</v>
      </c>
      <c r="F130" s="490" t="s">
        <v>883</v>
      </c>
      <c r="G130" s="411" t="s">
        <v>1094</v>
      </c>
      <c r="H130" s="490" t="s">
        <v>883</v>
      </c>
      <c r="I130" s="490" t="s">
        <v>883</v>
      </c>
      <c r="J130" s="490" t="s">
        <v>883</v>
      </c>
      <c r="K130" s="416">
        <f t="shared" si="8"/>
        <v>4.5454545454545456E-2</v>
      </c>
      <c r="L130" s="490" t="s">
        <v>883</v>
      </c>
      <c r="M130" s="401" t="s">
        <v>1094</v>
      </c>
      <c r="N130" s="490" t="s">
        <v>883</v>
      </c>
      <c r="O130" s="401" t="s">
        <v>1094</v>
      </c>
      <c r="P130" s="490" t="s">
        <v>883</v>
      </c>
      <c r="Q130" s="401" t="s">
        <v>1094</v>
      </c>
      <c r="R130" s="401" t="s">
        <v>1094</v>
      </c>
      <c r="S130" s="490" t="s">
        <v>883</v>
      </c>
      <c r="T130" s="401" t="s">
        <v>1094</v>
      </c>
      <c r="U130" s="401" t="s">
        <v>1094</v>
      </c>
      <c r="V130" s="284">
        <f t="shared" si="14"/>
        <v>86.625</v>
      </c>
      <c r="W130" s="279"/>
      <c r="X130" s="279"/>
      <c r="Y130" s="287">
        <f t="shared" si="15"/>
        <v>50</v>
      </c>
      <c r="Z130" s="287">
        <v>800</v>
      </c>
      <c r="AA130" s="288">
        <v>1100</v>
      </c>
      <c r="AB130" s="261">
        <f t="shared" si="10"/>
        <v>2.5252525252525252E-2</v>
      </c>
      <c r="AC130" s="261">
        <f t="shared" si="11"/>
        <v>0.40404040404040403</v>
      </c>
      <c r="AD130" s="297"/>
      <c r="AE130" s="290" t="s">
        <v>292</v>
      </c>
      <c r="AF130" s="291">
        <v>8</v>
      </c>
      <c r="AG130" s="292" t="s">
        <v>1037</v>
      </c>
      <c r="AH130" s="293" t="s">
        <v>963</v>
      </c>
    </row>
    <row r="131" spans="1:41" s="107" customFormat="1">
      <c r="A131" s="242" t="s">
        <v>853</v>
      </c>
      <c r="B131" s="297" t="s">
        <v>1253</v>
      </c>
      <c r="C131" s="108" t="s">
        <v>232</v>
      </c>
      <c r="D131" s="497" t="s">
        <v>1094</v>
      </c>
      <c r="E131" s="490" t="s">
        <v>883</v>
      </c>
      <c r="F131" s="490" t="s">
        <v>883</v>
      </c>
      <c r="G131" s="411" t="s">
        <v>1094</v>
      </c>
      <c r="H131" s="411" t="s">
        <v>1094</v>
      </c>
      <c r="I131" s="490" t="s">
        <v>883</v>
      </c>
      <c r="J131" s="490" t="s">
        <v>883</v>
      </c>
      <c r="K131" s="416">
        <f t="shared" si="8"/>
        <v>1.0044642857142856E-3</v>
      </c>
      <c r="L131" s="490" t="s">
        <v>883</v>
      </c>
      <c r="M131" s="401" t="s">
        <v>1094</v>
      </c>
      <c r="N131" s="401" t="s">
        <v>1094</v>
      </c>
      <c r="O131" s="490" t="s">
        <v>883</v>
      </c>
      <c r="P131" s="401" t="s">
        <v>1094</v>
      </c>
      <c r="Q131" s="401" t="s">
        <v>1094</v>
      </c>
      <c r="R131" s="490" t="s">
        <v>883</v>
      </c>
      <c r="S131" s="401" t="s">
        <v>1094</v>
      </c>
      <c r="T131" s="401" t="s">
        <v>1094</v>
      </c>
      <c r="U131" s="401" t="s">
        <v>1094</v>
      </c>
      <c r="V131" s="284">
        <f t="shared" si="14"/>
        <v>6.8062500000000004</v>
      </c>
      <c r="W131" s="279"/>
      <c r="X131" s="279"/>
      <c r="Y131" s="287">
        <f t="shared" si="15"/>
        <v>14.0625</v>
      </c>
      <c r="Z131" s="287">
        <v>225</v>
      </c>
      <c r="AA131" s="288">
        <v>14000</v>
      </c>
      <c r="AB131" s="261">
        <f t="shared" si="10"/>
        <v>0.32139577594123048</v>
      </c>
      <c r="AC131" s="261">
        <f t="shared" si="11"/>
        <v>5.1423324150596876</v>
      </c>
      <c r="AD131" s="297"/>
      <c r="AE131" s="290" t="s">
        <v>525</v>
      </c>
      <c r="AF131" s="291">
        <v>5</v>
      </c>
      <c r="AG131" s="292" t="s">
        <v>1034</v>
      </c>
      <c r="AH131" s="293" t="s">
        <v>981</v>
      </c>
    </row>
    <row r="132" spans="1:41" s="107" customFormat="1">
      <c r="A132" s="242" t="s">
        <v>853</v>
      </c>
      <c r="B132" s="282" t="s">
        <v>366</v>
      </c>
      <c r="C132" s="121" t="s">
        <v>746</v>
      </c>
      <c r="D132" s="494" t="s">
        <v>883</v>
      </c>
      <c r="E132" s="490" t="s">
        <v>1094</v>
      </c>
      <c r="F132" s="490" t="s">
        <v>1094</v>
      </c>
      <c r="G132" s="490" t="s">
        <v>883</v>
      </c>
      <c r="H132" s="411" t="s">
        <v>1094</v>
      </c>
      <c r="I132" s="490" t="s">
        <v>883</v>
      </c>
      <c r="J132" s="490" t="s">
        <v>1094</v>
      </c>
      <c r="K132" s="416">
        <f t="shared" ref="K132:K195" si="16">Y132/AA132</f>
        <v>1.0135135135135135E-4</v>
      </c>
      <c r="L132" s="401" t="s">
        <v>1094</v>
      </c>
      <c r="M132" s="401" t="s">
        <v>1094</v>
      </c>
      <c r="N132" s="401" t="s">
        <v>1094</v>
      </c>
      <c r="O132" s="401" t="s">
        <v>1094</v>
      </c>
      <c r="P132" s="401" t="s">
        <v>1094</v>
      </c>
      <c r="Q132" s="401" t="s">
        <v>1094</v>
      </c>
      <c r="R132" s="401" t="s">
        <v>1094</v>
      </c>
      <c r="S132" s="401" t="s">
        <v>1094</v>
      </c>
      <c r="T132" s="401" t="s">
        <v>1094</v>
      </c>
      <c r="U132" s="401" t="s">
        <v>1094</v>
      </c>
      <c r="V132" s="284">
        <f t="shared" ref="V132:V147" si="17">35/AC132</f>
        <v>0.51506756756756755</v>
      </c>
      <c r="W132" s="279"/>
      <c r="X132" s="279"/>
      <c r="Y132" s="287">
        <f t="shared" si="15"/>
        <v>18.75</v>
      </c>
      <c r="Z132" s="287">
        <v>300</v>
      </c>
      <c r="AA132" s="288">
        <v>185000</v>
      </c>
      <c r="AB132" s="261">
        <f t="shared" ref="AB132:AB195" si="18">(AA132/43560)</f>
        <v>4.2470156106519745</v>
      </c>
      <c r="AC132" s="261">
        <f t="shared" ref="AC132:AC195" si="19">AB132*16</f>
        <v>67.952249770431592</v>
      </c>
      <c r="AD132" s="297"/>
      <c r="AE132" s="290" t="s">
        <v>294</v>
      </c>
      <c r="AF132" s="291">
        <v>4</v>
      </c>
      <c r="AG132" s="292" t="s">
        <v>1034</v>
      </c>
      <c r="AH132" s="293" t="s">
        <v>970</v>
      </c>
    </row>
    <row r="133" spans="1:41" s="107" customFormat="1">
      <c r="A133" s="337" t="s">
        <v>853</v>
      </c>
      <c r="B133" s="282" t="s">
        <v>367</v>
      </c>
      <c r="C133" s="121" t="s">
        <v>771</v>
      </c>
      <c r="D133" s="494" t="s">
        <v>883</v>
      </c>
      <c r="E133" s="490" t="s">
        <v>1094</v>
      </c>
      <c r="F133" s="490" t="s">
        <v>883</v>
      </c>
      <c r="G133" s="490" t="s">
        <v>883</v>
      </c>
      <c r="H133" s="411" t="s">
        <v>1094</v>
      </c>
      <c r="I133" s="490" t="s">
        <v>883</v>
      </c>
      <c r="J133" s="411" t="s">
        <v>1094</v>
      </c>
      <c r="K133" s="416">
        <f t="shared" si="16"/>
        <v>4.1666666666666664E-2</v>
      </c>
      <c r="L133" s="401" t="s">
        <v>1094</v>
      </c>
      <c r="M133" s="401" t="s">
        <v>1094</v>
      </c>
      <c r="N133" s="401" t="s">
        <v>1094</v>
      </c>
      <c r="O133" s="401" t="s">
        <v>1094</v>
      </c>
      <c r="P133" s="401" t="s">
        <v>1094</v>
      </c>
      <c r="Q133" s="401" t="s">
        <v>1094</v>
      </c>
      <c r="R133" s="401" t="s">
        <v>1094</v>
      </c>
      <c r="S133" s="401" t="s">
        <v>1094</v>
      </c>
      <c r="T133" s="401" t="s">
        <v>1094</v>
      </c>
      <c r="U133" s="401" t="s">
        <v>1094</v>
      </c>
      <c r="V133" s="439">
        <f t="shared" si="17"/>
        <v>211.75</v>
      </c>
      <c r="W133" s="440"/>
      <c r="X133" s="440"/>
      <c r="Y133" s="441">
        <f t="shared" si="15"/>
        <v>18.75</v>
      </c>
      <c r="Z133" s="441">
        <v>300</v>
      </c>
      <c r="AA133" s="288">
        <v>450</v>
      </c>
      <c r="AB133" s="443">
        <f t="shared" si="18"/>
        <v>1.0330578512396695E-2</v>
      </c>
      <c r="AC133" s="443">
        <f t="shared" si="19"/>
        <v>0.16528925619834711</v>
      </c>
      <c r="AD133" s="281"/>
      <c r="AE133" s="478" t="s">
        <v>292</v>
      </c>
      <c r="AF133" s="291">
        <v>4</v>
      </c>
      <c r="AG133" s="292" t="s">
        <v>1034</v>
      </c>
      <c r="AH133" s="377"/>
    </row>
    <row r="134" spans="1:41" s="107" customFormat="1">
      <c r="A134" s="337" t="s">
        <v>853</v>
      </c>
      <c r="B134" s="386" t="s">
        <v>11214</v>
      </c>
      <c r="C134" s="387" t="s">
        <v>11215</v>
      </c>
      <c r="D134" s="493" t="s">
        <v>1094</v>
      </c>
      <c r="E134" s="493" t="s">
        <v>1094</v>
      </c>
      <c r="F134" s="493" t="s">
        <v>883</v>
      </c>
      <c r="G134" s="283" t="s">
        <v>1094</v>
      </c>
      <c r="H134" s="283" t="s">
        <v>1094</v>
      </c>
      <c r="I134" s="493" t="s">
        <v>883</v>
      </c>
      <c r="J134" s="283" t="s">
        <v>1094</v>
      </c>
      <c r="K134" s="416">
        <f t="shared" si="16"/>
        <v>2.4615384615384616E-3</v>
      </c>
      <c r="L134" s="416" t="s">
        <v>1094</v>
      </c>
      <c r="M134" s="416" t="s">
        <v>1094</v>
      </c>
      <c r="N134" s="416" t="s">
        <v>1094</v>
      </c>
      <c r="O134" s="416" t="s">
        <v>1094</v>
      </c>
      <c r="P134" s="416" t="s">
        <v>1094</v>
      </c>
      <c r="Q134" s="416" t="s">
        <v>1094</v>
      </c>
      <c r="R134" s="416" t="s">
        <v>1094</v>
      </c>
      <c r="S134" s="416" t="s">
        <v>1094</v>
      </c>
      <c r="T134" s="416" t="s">
        <v>1094</v>
      </c>
      <c r="U134" s="416" t="s">
        <v>1094</v>
      </c>
      <c r="V134" s="439">
        <f t="shared" si="17"/>
        <v>1.4659615384615385</v>
      </c>
      <c r="W134" s="299"/>
      <c r="X134" s="299"/>
      <c r="Y134" s="441">
        <f t="shared" si="15"/>
        <v>160</v>
      </c>
      <c r="Z134" s="441">
        <v>2560</v>
      </c>
      <c r="AA134" s="288">
        <v>65000</v>
      </c>
      <c r="AB134" s="443">
        <f t="shared" si="18"/>
        <v>1.4921946740128558</v>
      </c>
      <c r="AC134" s="443">
        <f t="shared" si="19"/>
        <v>23.875114784205692</v>
      </c>
      <c r="AD134" s="282"/>
      <c r="AE134" s="478" t="s">
        <v>525</v>
      </c>
      <c r="AF134" s="291">
        <v>7</v>
      </c>
      <c r="AG134" s="292" t="s">
        <v>1034</v>
      </c>
      <c r="AH134" s="377" t="s">
        <v>946</v>
      </c>
    </row>
    <row r="135" spans="1:41" s="107" customFormat="1">
      <c r="A135" s="337" t="s">
        <v>853</v>
      </c>
      <c r="B135" s="282" t="s">
        <v>368</v>
      </c>
      <c r="C135" s="108" t="s">
        <v>247</v>
      </c>
      <c r="D135" s="490" t="s">
        <v>883</v>
      </c>
      <c r="E135" s="499" t="s">
        <v>1094</v>
      </c>
      <c r="F135" s="490" t="s">
        <v>1094</v>
      </c>
      <c r="G135" s="490" t="s">
        <v>883</v>
      </c>
      <c r="H135" s="411" t="s">
        <v>1094</v>
      </c>
      <c r="I135" s="490" t="s">
        <v>883</v>
      </c>
      <c r="J135" s="411" t="s">
        <v>1094</v>
      </c>
      <c r="K135" s="416">
        <f t="shared" si="16"/>
        <v>0.02</v>
      </c>
      <c r="L135" s="490" t="s">
        <v>883</v>
      </c>
      <c r="M135" s="401" t="s">
        <v>1094</v>
      </c>
      <c r="N135" s="401" t="s">
        <v>1094</v>
      </c>
      <c r="O135" s="490" t="s">
        <v>883</v>
      </c>
      <c r="P135" s="490" t="s">
        <v>883</v>
      </c>
      <c r="Q135" s="490" t="s">
        <v>883</v>
      </c>
      <c r="R135" s="401" t="s">
        <v>1094</v>
      </c>
      <c r="S135" s="401" t="s">
        <v>1094</v>
      </c>
      <c r="T135" s="401" t="s">
        <v>1094</v>
      </c>
      <c r="U135" s="401" t="s">
        <v>1094</v>
      </c>
      <c r="V135" s="439">
        <f t="shared" si="17"/>
        <v>14.012867647058822</v>
      </c>
      <c r="W135" s="440"/>
      <c r="X135" s="440"/>
      <c r="Y135" s="441">
        <f t="shared" si="15"/>
        <v>136</v>
      </c>
      <c r="Z135" s="441">
        <v>2176</v>
      </c>
      <c r="AA135" s="288">
        <v>6800</v>
      </c>
      <c r="AB135" s="443">
        <f t="shared" si="18"/>
        <v>0.15610651974288339</v>
      </c>
      <c r="AC135" s="443">
        <f t="shared" si="19"/>
        <v>2.4977043158861343</v>
      </c>
      <c r="AD135" s="281"/>
      <c r="AE135" s="478" t="s">
        <v>11303</v>
      </c>
      <c r="AF135" s="291">
        <v>8</v>
      </c>
      <c r="AG135" s="292" t="s">
        <v>1034</v>
      </c>
      <c r="AH135" s="377" t="s">
        <v>963</v>
      </c>
    </row>
    <row r="136" spans="1:41" s="107" customFormat="1">
      <c r="A136" s="337" t="s">
        <v>853</v>
      </c>
      <c r="B136" s="282" t="s">
        <v>504</v>
      </c>
      <c r="C136" s="121" t="s">
        <v>707</v>
      </c>
      <c r="D136" s="490" t="s">
        <v>1094</v>
      </c>
      <c r="E136" s="490" t="s">
        <v>883</v>
      </c>
      <c r="F136" s="490" t="s">
        <v>883</v>
      </c>
      <c r="G136" s="411" t="s">
        <v>1094</v>
      </c>
      <c r="H136" s="490" t="s">
        <v>883</v>
      </c>
      <c r="I136" s="490" t="s">
        <v>883</v>
      </c>
      <c r="J136" s="490" t="s">
        <v>883</v>
      </c>
      <c r="K136" s="416">
        <f t="shared" si="16"/>
        <v>8.3333333333333332E-3</v>
      </c>
      <c r="L136" s="490" t="s">
        <v>883</v>
      </c>
      <c r="M136" s="401" t="s">
        <v>1094</v>
      </c>
      <c r="N136" s="490" t="s">
        <v>883</v>
      </c>
      <c r="O136" s="490" t="s">
        <v>883</v>
      </c>
      <c r="P136" s="490" t="s">
        <v>883</v>
      </c>
      <c r="Q136" s="401" t="s">
        <v>1094</v>
      </c>
      <c r="R136" s="490" t="s">
        <v>883</v>
      </c>
      <c r="S136" s="490" t="s">
        <v>883</v>
      </c>
      <c r="T136" s="401" t="s">
        <v>1094</v>
      </c>
      <c r="U136" s="401" t="s">
        <v>1094</v>
      </c>
      <c r="V136" s="439">
        <f t="shared" si="17"/>
        <v>7.9406249999999998</v>
      </c>
      <c r="W136" s="440"/>
      <c r="X136" s="440"/>
      <c r="Y136" s="441">
        <v>100</v>
      </c>
      <c r="Z136" s="441">
        <f>Y136*16</f>
        <v>1600</v>
      </c>
      <c r="AA136" s="288">
        <v>12000</v>
      </c>
      <c r="AB136" s="443">
        <f t="shared" si="18"/>
        <v>0.27548209366391185</v>
      </c>
      <c r="AC136" s="443">
        <f t="shared" si="19"/>
        <v>4.4077134986225897</v>
      </c>
      <c r="AD136" s="281"/>
      <c r="AE136" s="478" t="s">
        <v>525</v>
      </c>
      <c r="AF136" s="291">
        <v>8</v>
      </c>
      <c r="AG136" s="444" t="s">
        <v>1037</v>
      </c>
      <c r="AH136" s="377" t="s">
        <v>949</v>
      </c>
    </row>
    <row r="137" spans="1:41" s="209" customFormat="1">
      <c r="A137" s="337" t="s">
        <v>853</v>
      </c>
      <c r="B137" s="281" t="s">
        <v>1305</v>
      </c>
      <c r="C137" s="121" t="s">
        <v>766</v>
      </c>
      <c r="D137" s="490" t="s">
        <v>1094</v>
      </c>
      <c r="E137" s="490" t="s">
        <v>1094</v>
      </c>
      <c r="F137" s="490" t="s">
        <v>883</v>
      </c>
      <c r="G137" s="411" t="s">
        <v>1094</v>
      </c>
      <c r="H137" s="490" t="s">
        <v>1094</v>
      </c>
      <c r="I137" s="490" t="s">
        <v>883</v>
      </c>
      <c r="J137" s="490" t="s">
        <v>883</v>
      </c>
      <c r="K137" s="416">
        <f t="shared" si="16"/>
        <v>2.8124999999999999E-3</v>
      </c>
      <c r="L137" s="490" t="s">
        <v>883</v>
      </c>
      <c r="M137" s="401" t="s">
        <v>1094</v>
      </c>
      <c r="N137" s="490" t="s">
        <v>883</v>
      </c>
      <c r="O137" s="401" t="s">
        <v>1094</v>
      </c>
      <c r="P137" s="401" t="s">
        <v>1094</v>
      </c>
      <c r="Q137" s="401" t="s">
        <v>1094</v>
      </c>
      <c r="R137" s="490" t="s">
        <v>883</v>
      </c>
      <c r="S137" s="401" t="s">
        <v>1094</v>
      </c>
      <c r="T137" s="490" t="s">
        <v>883</v>
      </c>
      <c r="U137" s="401" t="s">
        <v>1094</v>
      </c>
      <c r="V137" s="439">
        <f t="shared" si="17"/>
        <v>9.5287500000000005</v>
      </c>
      <c r="W137" s="440"/>
      <c r="X137" s="440"/>
      <c r="Y137" s="441">
        <f t="shared" ref="Y137:Y154" si="20">SUM(Z137/16)</f>
        <v>28.125</v>
      </c>
      <c r="Z137" s="441">
        <v>450</v>
      </c>
      <c r="AA137" s="288">
        <v>10000</v>
      </c>
      <c r="AB137" s="443">
        <f t="shared" si="18"/>
        <v>0.2295684113865932</v>
      </c>
      <c r="AC137" s="443">
        <f t="shared" si="19"/>
        <v>3.6730945821854912</v>
      </c>
      <c r="AD137" s="281"/>
      <c r="AE137" s="478" t="s">
        <v>292</v>
      </c>
      <c r="AF137" s="291">
        <v>4</v>
      </c>
      <c r="AG137" s="292" t="s">
        <v>1034</v>
      </c>
      <c r="AH137" s="320" t="s">
        <v>977</v>
      </c>
      <c r="AI137" s="107"/>
      <c r="AJ137" s="107"/>
      <c r="AK137" s="107"/>
      <c r="AL137" s="107"/>
      <c r="AM137" s="107"/>
      <c r="AN137" s="107"/>
      <c r="AO137" s="107"/>
    </row>
    <row r="138" spans="1:41" s="107" customFormat="1">
      <c r="A138" s="337" t="s">
        <v>853</v>
      </c>
      <c r="B138" s="282" t="s">
        <v>369</v>
      </c>
      <c r="C138" s="106" t="s">
        <v>877</v>
      </c>
      <c r="D138" s="501" t="s">
        <v>1094</v>
      </c>
      <c r="E138" s="490" t="s">
        <v>1094</v>
      </c>
      <c r="F138" s="490" t="s">
        <v>883</v>
      </c>
      <c r="G138" s="411" t="s">
        <v>1094</v>
      </c>
      <c r="H138" s="411" t="s">
        <v>1094</v>
      </c>
      <c r="I138" s="490" t="s">
        <v>883</v>
      </c>
      <c r="J138" s="490" t="s">
        <v>883</v>
      </c>
      <c r="K138" s="416">
        <f t="shared" si="16"/>
        <v>7.1428571428571425E-2</v>
      </c>
      <c r="L138" s="401" t="s">
        <v>1094</v>
      </c>
      <c r="M138" s="401" t="s">
        <v>1094</v>
      </c>
      <c r="N138" s="401" t="s">
        <v>1094</v>
      </c>
      <c r="O138" s="401" t="s">
        <v>1094</v>
      </c>
      <c r="P138" s="401" t="s">
        <v>1094</v>
      </c>
      <c r="Q138" s="401" t="s">
        <v>1094</v>
      </c>
      <c r="R138" s="401" t="s">
        <v>1094</v>
      </c>
      <c r="S138" s="401" t="s">
        <v>1094</v>
      </c>
      <c r="T138" s="401" t="s">
        <v>1094</v>
      </c>
      <c r="U138" s="401" t="s">
        <v>1094</v>
      </c>
      <c r="V138" s="439">
        <f t="shared" si="17"/>
        <v>68.0625</v>
      </c>
      <c r="W138" s="440"/>
      <c r="X138" s="440"/>
      <c r="Y138" s="441">
        <f t="shared" si="20"/>
        <v>100</v>
      </c>
      <c r="Z138" s="441">
        <v>1600</v>
      </c>
      <c r="AA138" s="288">
        <v>1400</v>
      </c>
      <c r="AB138" s="443">
        <f t="shared" si="18"/>
        <v>3.2139577594123052E-2</v>
      </c>
      <c r="AC138" s="443">
        <f t="shared" si="19"/>
        <v>0.51423324150596883</v>
      </c>
      <c r="AD138" s="281"/>
      <c r="AE138" s="478" t="s">
        <v>525</v>
      </c>
      <c r="AF138" s="291">
        <v>7</v>
      </c>
      <c r="AG138" s="444" t="s">
        <v>1037</v>
      </c>
      <c r="AH138" s="377" t="s">
        <v>957</v>
      </c>
    </row>
    <row r="139" spans="1:41" s="107" customFormat="1">
      <c r="A139" s="337" t="s">
        <v>853</v>
      </c>
      <c r="B139" s="281" t="s">
        <v>1254</v>
      </c>
      <c r="C139" s="121" t="s">
        <v>732</v>
      </c>
      <c r="D139" s="490" t="s">
        <v>1094</v>
      </c>
      <c r="E139" s="490" t="s">
        <v>883</v>
      </c>
      <c r="F139" s="490" t="s">
        <v>883</v>
      </c>
      <c r="G139" s="411" t="s">
        <v>1094</v>
      </c>
      <c r="H139" s="411" t="s">
        <v>1094</v>
      </c>
      <c r="I139" s="490" t="s">
        <v>883</v>
      </c>
      <c r="J139" s="490" t="s">
        <v>883</v>
      </c>
      <c r="K139" s="416">
        <f t="shared" si="16"/>
        <v>1.875E-4</v>
      </c>
      <c r="L139" s="490" t="s">
        <v>883</v>
      </c>
      <c r="M139" s="401" t="s">
        <v>1094</v>
      </c>
      <c r="N139" s="490" t="s">
        <v>883</v>
      </c>
      <c r="O139" s="490" t="s">
        <v>883</v>
      </c>
      <c r="P139" s="490" t="s">
        <v>883</v>
      </c>
      <c r="Q139" s="401" t="s">
        <v>1094</v>
      </c>
      <c r="R139" s="490" t="s">
        <v>883</v>
      </c>
      <c r="S139" s="490" t="s">
        <v>883</v>
      </c>
      <c r="T139" s="401" t="s">
        <v>1094</v>
      </c>
      <c r="U139" s="401" t="s">
        <v>1094</v>
      </c>
      <c r="V139" s="439">
        <f t="shared" si="17"/>
        <v>4.7643750000000002</v>
      </c>
      <c r="W139" s="440"/>
      <c r="X139" s="440"/>
      <c r="Y139" s="441">
        <f t="shared" si="20"/>
        <v>3.75</v>
      </c>
      <c r="Z139" s="441">
        <v>60</v>
      </c>
      <c r="AA139" s="288">
        <v>20000</v>
      </c>
      <c r="AB139" s="443">
        <f t="shared" si="18"/>
        <v>0.4591368227731864</v>
      </c>
      <c r="AC139" s="443">
        <f t="shared" si="19"/>
        <v>7.3461891643709825</v>
      </c>
      <c r="AD139" s="281"/>
      <c r="AE139" s="478" t="s">
        <v>863</v>
      </c>
      <c r="AF139" s="291">
        <v>4</v>
      </c>
      <c r="AG139" s="292" t="s">
        <v>1035</v>
      </c>
      <c r="AH139" s="377" t="s">
        <v>960</v>
      </c>
    </row>
    <row r="140" spans="1:41" s="107" customFormat="1">
      <c r="A140" s="337" t="s">
        <v>853</v>
      </c>
      <c r="B140" s="282" t="s">
        <v>271</v>
      </c>
      <c r="C140" s="121" t="s">
        <v>713</v>
      </c>
      <c r="D140" s="494" t="s">
        <v>883</v>
      </c>
      <c r="E140" s="495" t="s">
        <v>1094</v>
      </c>
      <c r="F140" s="490" t="s">
        <v>1094</v>
      </c>
      <c r="G140" s="490" t="s">
        <v>883</v>
      </c>
      <c r="H140" s="415" t="s">
        <v>883</v>
      </c>
      <c r="I140" s="490" t="s">
        <v>883</v>
      </c>
      <c r="J140" s="411" t="s">
        <v>1094</v>
      </c>
      <c r="K140" s="416">
        <f t="shared" si="16"/>
        <v>3.7499999999999999E-3</v>
      </c>
      <c r="L140" s="490" t="s">
        <v>883</v>
      </c>
      <c r="M140" s="401" t="s">
        <v>1094</v>
      </c>
      <c r="N140" s="401" t="s">
        <v>1094</v>
      </c>
      <c r="O140" s="401" t="s">
        <v>1094</v>
      </c>
      <c r="P140" s="401" t="s">
        <v>1094</v>
      </c>
      <c r="Q140" s="401" t="s">
        <v>1094</v>
      </c>
      <c r="R140" s="401" t="s">
        <v>1094</v>
      </c>
      <c r="S140" s="401" t="s">
        <v>1094</v>
      </c>
      <c r="T140" s="401" t="s">
        <v>1094</v>
      </c>
      <c r="U140" s="401" t="s">
        <v>1094</v>
      </c>
      <c r="V140" s="439">
        <f t="shared" si="17"/>
        <v>23.821875000000002</v>
      </c>
      <c r="W140" s="440"/>
      <c r="X140" s="440"/>
      <c r="Y140" s="441">
        <f t="shared" si="20"/>
        <v>15</v>
      </c>
      <c r="Z140" s="441">
        <v>240</v>
      </c>
      <c r="AA140" s="288">
        <v>4000</v>
      </c>
      <c r="AB140" s="443">
        <f t="shared" si="18"/>
        <v>9.1827364554637275E-2</v>
      </c>
      <c r="AC140" s="443">
        <f t="shared" si="19"/>
        <v>1.4692378328741964</v>
      </c>
      <c r="AD140" s="281"/>
      <c r="AE140" s="478" t="s">
        <v>863</v>
      </c>
      <c r="AF140" s="291">
        <v>4</v>
      </c>
      <c r="AG140" s="292" t="s">
        <v>1034</v>
      </c>
      <c r="AH140" s="377" t="s">
        <v>946</v>
      </c>
    </row>
    <row r="141" spans="1:41" s="107" customFormat="1">
      <c r="A141" s="337" t="s">
        <v>853</v>
      </c>
      <c r="B141" s="281" t="s">
        <v>1255</v>
      </c>
      <c r="C141" s="121" t="s">
        <v>747</v>
      </c>
      <c r="D141" s="490" t="s">
        <v>883</v>
      </c>
      <c r="E141" s="490" t="s">
        <v>883</v>
      </c>
      <c r="F141" s="490" t="s">
        <v>1094</v>
      </c>
      <c r="G141" s="411" t="s">
        <v>1094</v>
      </c>
      <c r="H141" s="411" t="s">
        <v>1094</v>
      </c>
      <c r="I141" s="411" t="s">
        <v>1094</v>
      </c>
      <c r="J141" s="490" t="s">
        <v>883</v>
      </c>
      <c r="K141" s="416">
        <f t="shared" si="16"/>
        <v>5.5147058823529414E-5</v>
      </c>
      <c r="L141" s="490" t="s">
        <v>883</v>
      </c>
      <c r="M141" s="401" t="s">
        <v>1094</v>
      </c>
      <c r="N141" s="401" t="s">
        <v>1094</v>
      </c>
      <c r="O141" s="401" t="s">
        <v>1094</v>
      </c>
      <c r="P141" s="401" t="s">
        <v>1094</v>
      </c>
      <c r="Q141" s="490" t="s">
        <v>883</v>
      </c>
      <c r="R141" s="401" t="s">
        <v>1094</v>
      </c>
      <c r="S141" s="490" t="s">
        <v>883</v>
      </c>
      <c r="T141" s="401" t="s">
        <v>1094</v>
      </c>
      <c r="U141" s="490" t="s">
        <v>883</v>
      </c>
      <c r="V141" s="439">
        <f t="shared" si="17"/>
        <v>0.56051470588235297</v>
      </c>
      <c r="W141" s="440"/>
      <c r="X141" s="440"/>
      <c r="Y141" s="441">
        <f t="shared" si="20"/>
        <v>9.375</v>
      </c>
      <c r="Z141" s="441">
        <v>150</v>
      </c>
      <c r="AA141" s="288">
        <v>170000</v>
      </c>
      <c r="AB141" s="443">
        <f t="shared" si="18"/>
        <v>3.9026629935720845</v>
      </c>
      <c r="AC141" s="443">
        <f t="shared" si="19"/>
        <v>62.442607897153351</v>
      </c>
      <c r="AD141" s="281"/>
      <c r="AE141" s="478" t="s">
        <v>294</v>
      </c>
      <c r="AF141" s="291">
        <v>6</v>
      </c>
      <c r="AG141" s="292" t="s">
        <v>1034</v>
      </c>
      <c r="AH141" s="377" t="s">
        <v>946</v>
      </c>
    </row>
    <row r="142" spans="1:41" s="107" customFormat="1">
      <c r="A142" s="337" t="s">
        <v>853</v>
      </c>
      <c r="B142" s="282" t="s">
        <v>370</v>
      </c>
      <c r="C142" s="121" t="s">
        <v>722</v>
      </c>
      <c r="D142" s="490" t="s">
        <v>883</v>
      </c>
      <c r="E142" s="490" t="s">
        <v>883</v>
      </c>
      <c r="F142" s="490" t="s">
        <v>1094</v>
      </c>
      <c r="G142" s="411" t="s">
        <v>883</v>
      </c>
      <c r="H142" s="411" t="s">
        <v>883</v>
      </c>
      <c r="I142" s="411" t="s">
        <v>1094</v>
      </c>
      <c r="J142" s="490" t="s">
        <v>883</v>
      </c>
      <c r="K142" s="416">
        <f t="shared" si="16"/>
        <v>1.3888888888888888E-2</v>
      </c>
      <c r="L142" s="490" t="s">
        <v>883</v>
      </c>
      <c r="M142" s="490" t="s">
        <v>883</v>
      </c>
      <c r="N142" s="490" t="s">
        <v>883</v>
      </c>
      <c r="O142" s="490" t="s">
        <v>883</v>
      </c>
      <c r="P142" s="401" t="s">
        <v>1094</v>
      </c>
      <c r="Q142" s="490" t="s">
        <v>883</v>
      </c>
      <c r="R142" s="490" t="s">
        <v>883</v>
      </c>
      <c r="S142" s="490" t="s">
        <v>883</v>
      </c>
      <c r="T142" s="490" t="s">
        <v>883</v>
      </c>
      <c r="U142" s="490" t="s">
        <v>883</v>
      </c>
      <c r="V142" s="439">
        <f t="shared" si="17"/>
        <v>13.234375</v>
      </c>
      <c r="W142" s="440"/>
      <c r="X142" s="440"/>
      <c r="Y142" s="441">
        <f t="shared" si="20"/>
        <v>100</v>
      </c>
      <c r="Z142" s="441">
        <v>1600</v>
      </c>
      <c r="AA142" s="288">
        <v>7200</v>
      </c>
      <c r="AB142" s="443">
        <f t="shared" si="18"/>
        <v>0.16528925619834711</v>
      </c>
      <c r="AC142" s="443">
        <f t="shared" si="19"/>
        <v>2.6446280991735538</v>
      </c>
      <c r="AD142" s="281"/>
      <c r="AE142" s="478" t="s">
        <v>863</v>
      </c>
      <c r="AF142" s="291">
        <v>9</v>
      </c>
      <c r="AG142" s="292" t="s">
        <v>1034</v>
      </c>
      <c r="AH142" s="377" t="s">
        <v>1236</v>
      </c>
    </row>
    <row r="143" spans="1:41" s="107" customFormat="1">
      <c r="A143" s="242" t="s">
        <v>853</v>
      </c>
      <c r="B143" s="282" t="s">
        <v>371</v>
      </c>
      <c r="C143" s="121" t="s">
        <v>750</v>
      </c>
      <c r="D143" s="490" t="s">
        <v>883</v>
      </c>
      <c r="E143" s="490" t="s">
        <v>883</v>
      </c>
      <c r="F143" s="490" t="s">
        <v>1094</v>
      </c>
      <c r="G143" s="411" t="s">
        <v>1094</v>
      </c>
      <c r="H143" s="490" t="s">
        <v>883</v>
      </c>
      <c r="I143" s="411" t="s">
        <v>1094</v>
      </c>
      <c r="J143" s="490" t="s">
        <v>883</v>
      </c>
      <c r="K143" s="416">
        <f t="shared" si="16"/>
        <v>2E-3</v>
      </c>
      <c r="L143" s="490" t="s">
        <v>883</v>
      </c>
      <c r="M143" s="401" t="s">
        <v>1094</v>
      </c>
      <c r="N143" s="490" t="s">
        <v>883</v>
      </c>
      <c r="O143" s="401" t="s">
        <v>1094</v>
      </c>
      <c r="P143" s="401" t="s">
        <v>1094</v>
      </c>
      <c r="Q143" s="490" t="s">
        <v>883</v>
      </c>
      <c r="R143" s="490" t="s">
        <v>883</v>
      </c>
      <c r="S143" s="490" t="s">
        <v>883</v>
      </c>
      <c r="T143" s="490" t="s">
        <v>883</v>
      </c>
      <c r="U143" s="490" t="s">
        <v>883</v>
      </c>
      <c r="V143" s="284">
        <f t="shared" si="17"/>
        <v>9.5287500000000005</v>
      </c>
      <c r="W143" s="279"/>
      <c r="X143" s="279"/>
      <c r="Y143" s="287">
        <f t="shared" si="20"/>
        <v>20</v>
      </c>
      <c r="Z143" s="287">
        <v>320</v>
      </c>
      <c r="AA143" s="288">
        <v>10000</v>
      </c>
      <c r="AB143" s="261">
        <f t="shared" si="18"/>
        <v>0.2295684113865932</v>
      </c>
      <c r="AC143" s="261">
        <f t="shared" si="19"/>
        <v>3.6730945821854912</v>
      </c>
      <c r="AD143" s="297"/>
      <c r="AE143" s="290" t="s">
        <v>863</v>
      </c>
      <c r="AF143" s="291">
        <v>10</v>
      </c>
      <c r="AG143" s="292" t="s">
        <v>1036</v>
      </c>
      <c r="AH143" s="293" t="s">
        <v>946</v>
      </c>
    </row>
    <row r="144" spans="1:41" s="107" customFormat="1">
      <c r="A144" s="242" t="s">
        <v>853</v>
      </c>
      <c r="B144" s="282" t="s">
        <v>372</v>
      </c>
      <c r="C144" s="121" t="s">
        <v>617</v>
      </c>
      <c r="D144" s="490" t="s">
        <v>883</v>
      </c>
      <c r="E144" s="490" t="s">
        <v>883</v>
      </c>
      <c r="F144" s="490" t="s">
        <v>1094</v>
      </c>
      <c r="G144" s="411" t="s">
        <v>1094</v>
      </c>
      <c r="H144" s="411" t="s">
        <v>1094</v>
      </c>
      <c r="I144" s="411" t="s">
        <v>1094</v>
      </c>
      <c r="J144" s="411" t="s">
        <v>1094</v>
      </c>
      <c r="K144" s="416">
        <f t="shared" si="16"/>
        <v>2.1634615384615386E-3</v>
      </c>
      <c r="L144" s="490" t="s">
        <v>883</v>
      </c>
      <c r="M144" s="401" t="s">
        <v>1094</v>
      </c>
      <c r="N144" s="490" t="s">
        <v>883</v>
      </c>
      <c r="O144" s="401" t="s">
        <v>1094</v>
      </c>
      <c r="P144" s="401" t="s">
        <v>1094</v>
      </c>
      <c r="Q144" s="401" t="s">
        <v>1094</v>
      </c>
      <c r="R144" s="490" t="s">
        <v>883</v>
      </c>
      <c r="S144" s="401" t="s">
        <v>1094</v>
      </c>
      <c r="T144" s="401" t="s">
        <v>1094</v>
      </c>
      <c r="U144" s="490" t="s">
        <v>883</v>
      </c>
      <c r="V144" s="284">
        <f t="shared" si="17"/>
        <v>3.6649038461538463</v>
      </c>
      <c r="W144" s="279"/>
      <c r="X144" s="279"/>
      <c r="Y144" s="287">
        <f t="shared" si="20"/>
        <v>56.25</v>
      </c>
      <c r="Z144" s="287">
        <v>900</v>
      </c>
      <c r="AA144" s="288">
        <v>26000</v>
      </c>
      <c r="AB144" s="261">
        <f t="shared" si="18"/>
        <v>0.59687786960514233</v>
      </c>
      <c r="AC144" s="261">
        <f t="shared" si="19"/>
        <v>9.5500459136822773</v>
      </c>
      <c r="AD144" s="297"/>
      <c r="AE144" s="290" t="s">
        <v>525</v>
      </c>
      <c r="AF144" s="291">
        <v>8</v>
      </c>
      <c r="AG144" s="292" t="s">
        <v>1034</v>
      </c>
      <c r="AH144" s="293" t="s">
        <v>983</v>
      </c>
    </row>
    <row r="145" spans="1:41" s="107" customFormat="1">
      <c r="A145" s="242" t="s">
        <v>853</v>
      </c>
      <c r="B145" s="281" t="s">
        <v>1306</v>
      </c>
      <c r="C145" s="121" t="s">
        <v>769</v>
      </c>
      <c r="D145" s="490" t="s">
        <v>883</v>
      </c>
      <c r="E145" s="490" t="s">
        <v>883</v>
      </c>
      <c r="F145" s="490" t="s">
        <v>1094</v>
      </c>
      <c r="G145" s="411" t="s">
        <v>1094</v>
      </c>
      <c r="H145" s="490" t="s">
        <v>1094</v>
      </c>
      <c r="I145" s="411" t="s">
        <v>1094</v>
      </c>
      <c r="J145" s="490" t="s">
        <v>883</v>
      </c>
      <c r="K145" s="416">
        <f t="shared" si="16"/>
        <v>2.173913043478261E-4</v>
      </c>
      <c r="L145" s="490" t="s">
        <v>883</v>
      </c>
      <c r="M145" s="401" t="s">
        <v>1094</v>
      </c>
      <c r="N145" s="401" t="s">
        <v>1094</v>
      </c>
      <c r="O145" s="401" t="s">
        <v>1094</v>
      </c>
      <c r="P145" s="401" t="s">
        <v>1094</v>
      </c>
      <c r="Q145" s="401" t="s">
        <v>1094</v>
      </c>
      <c r="R145" s="490" t="s">
        <v>883</v>
      </c>
      <c r="S145" s="401" t="s">
        <v>1094</v>
      </c>
      <c r="T145" s="490" t="s">
        <v>883</v>
      </c>
      <c r="U145" s="490" t="s">
        <v>883</v>
      </c>
      <c r="V145" s="284">
        <f t="shared" si="17"/>
        <v>0.41429347826086954</v>
      </c>
      <c r="W145" s="279"/>
      <c r="X145" s="279"/>
      <c r="Y145" s="287">
        <f t="shared" si="20"/>
        <v>50</v>
      </c>
      <c r="Z145" s="287">
        <v>800</v>
      </c>
      <c r="AA145" s="288">
        <v>230000</v>
      </c>
      <c r="AB145" s="261">
        <f t="shared" si="18"/>
        <v>5.2800734618916438</v>
      </c>
      <c r="AC145" s="261">
        <f t="shared" si="19"/>
        <v>84.481175390266301</v>
      </c>
      <c r="AD145" s="297"/>
      <c r="AE145" s="290" t="s">
        <v>294</v>
      </c>
      <c r="AF145" s="291">
        <v>7</v>
      </c>
      <c r="AG145" s="292" t="s">
        <v>1034</v>
      </c>
      <c r="AH145" s="293" t="s">
        <v>978</v>
      </c>
    </row>
    <row r="146" spans="1:41" s="107" customFormat="1">
      <c r="A146" s="242" t="s">
        <v>853</v>
      </c>
      <c r="B146" s="282" t="s">
        <v>289</v>
      </c>
      <c r="C146" s="121" t="s">
        <v>621</v>
      </c>
      <c r="D146" s="490" t="s">
        <v>1094</v>
      </c>
      <c r="E146" s="490" t="s">
        <v>1094</v>
      </c>
      <c r="F146" s="490" t="s">
        <v>883</v>
      </c>
      <c r="G146" s="411" t="s">
        <v>883</v>
      </c>
      <c r="H146" s="411" t="s">
        <v>1094</v>
      </c>
      <c r="I146" s="490" t="s">
        <v>883</v>
      </c>
      <c r="J146" s="490" t="s">
        <v>1094</v>
      </c>
      <c r="K146" s="416">
        <f t="shared" si="16"/>
        <v>3.3088235294117647E-3</v>
      </c>
      <c r="L146" s="490" t="s">
        <v>883</v>
      </c>
      <c r="M146" s="401" t="s">
        <v>1094</v>
      </c>
      <c r="N146" s="401" t="s">
        <v>1094</v>
      </c>
      <c r="O146" s="490" t="s">
        <v>883</v>
      </c>
      <c r="P146" s="401" t="s">
        <v>1094</v>
      </c>
      <c r="Q146" s="490" t="s">
        <v>883</v>
      </c>
      <c r="R146" s="401" t="s">
        <v>1094</v>
      </c>
      <c r="S146" s="401" t="s">
        <v>1094</v>
      </c>
      <c r="T146" s="401" t="s">
        <v>1094</v>
      </c>
      <c r="U146" s="490" t="s">
        <v>883</v>
      </c>
      <c r="V146" s="284">
        <f t="shared" si="17"/>
        <v>56.05147058823529</v>
      </c>
      <c r="W146" s="285"/>
      <c r="X146" s="286"/>
      <c r="Y146" s="287">
        <f t="shared" si="20"/>
        <v>5.625</v>
      </c>
      <c r="Z146" s="287">
        <v>90</v>
      </c>
      <c r="AA146" s="288">
        <v>1700</v>
      </c>
      <c r="AB146" s="261">
        <f t="shared" si="18"/>
        <v>3.9026629935720848E-2</v>
      </c>
      <c r="AC146" s="261">
        <f t="shared" si="19"/>
        <v>0.62442607897153357</v>
      </c>
      <c r="AD146" s="289"/>
      <c r="AE146" s="290" t="s">
        <v>863</v>
      </c>
      <c r="AF146" s="321">
        <v>5</v>
      </c>
      <c r="AG146" s="298" t="s">
        <v>1037</v>
      </c>
      <c r="AH146" s="293" t="s">
        <v>984</v>
      </c>
    </row>
    <row r="147" spans="1:41" s="107" customFormat="1">
      <c r="A147" s="242" t="s">
        <v>853</v>
      </c>
      <c r="B147" s="282" t="s">
        <v>505</v>
      </c>
      <c r="C147" s="121" t="s">
        <v>664</v>
      </c>
      <c r="D147" s="490" t="s">
        <v>1094</v>
      </c>
      <c r="E147" s="490" t="s">
        <v>1094</v>
      </c>
      <c r="F147" s="490" t="s">
        <v>883</v>
      </c>
      <c r="G147" s="411" t="s">
        <v>1094</v>
      </c>
      <c r="H147" s="411" t="s">
        <v>1094</v>
      </c>
      <c r="I147" s="490" t="s">
        <v>883</v>
      </c>
      <c r="J147" s="490" t="s">
        <v>883</v>
      </c>
      <c r="K147" s="416">
        <f t="shared" si="16"/>
        <v>4.3269230769230771E-4</v>
      </c>
      <c r="L147" s="490" t="s">
        <v>883</v>
      </c>
      <c r="M147" s="401" t="s">
        <v>1094</v>
      </c>
      <c r="N147" s="490" t="s">
        <v>883</v>
      </c>
      <c r="O147" s="401" t="s">
        <v>1094</v>
      </c>
      <c r="P147" s="490" t="s">
        <v>883</v>
      </c>
      <c r="Q147" s="401" t="s">
        <v>1094</v>
      </c>
      <c r="R147" s="490" t="s">
        <v>883</v>
      </c>
      <c r="S147" s="490" t="s">
        <v>883</v>
      </c>
      <c r="T147" s="490" t="s">
        <v>883</v>
      </c>
      <c r="U147" s="401" t="s">
        <v>1094</v>
      </c>
      <c r="V147" s="284">
        <f t="shared" si="17"/>
        <v>7.3298076923076927</v>
      </c>
      <c r="W147" s="279"/>
      <c r="X147" s="279"/>
      <c r="Y147" s="287">
        <f t="shared" si="20"/>
        <v>5.625</v>
      </c>
      <c r="Z147" s="287">
        <v>90</v>
      </c>
      <c r="AA147" s="288">
        <v>13000</v>
      </c>
      <c r="AB147" s="261">
        <f t="shared" si="18"/>
        <v>0.29843893480257117</v>
      </c>
      <c r="AC147" s="261">
        <f t="shared" si="19"/>
        <v>4.7750229568411386</v>
      </c>
      <c r="AD147" s="297"/>
      <c r="AE147" s="290" t="s">
        <v>294</v>
      </c>
      <c r="AF147" s="291">
        <v>4</v>
      </c>
      <c r="AG147" s="292" t="s">
        <v>1034</v>
      </c>
      <c r="AH147" s="293" t="s">
        <v>960</v>
      </c>
    </row>
    <row r="148" spans="1:41" s="107" customFormat="1">
      <c r="A148" s="242" t="s">
        <v>853</v>
      </c>
      <c r="B148" s="282" t="s">
        <v>373</v>
      </c>
      <c r="C148" s="108" t="s">
        <v>240</v>
      </c>
      <c r="D148" s="490" t="s">
        <v>883</v>
      </c>
      <c r="E148" s="497" t="s">
        <v>1094</v>
      </c>
      <c r="F148" s="490" t="s">
        <v>883</v>
      </c>
      <c r="G148" s="490" t="s">
        <v>883</v>
      </c>
      <c r="H148" s="411" t="s">
        <v>1094</v>
      </c>
      <c r="I148" s="490" t="s">
        <v>883</v>
      </c>
      <c r="J148" s="411" t="s">
        <v>1094</v>
      </c>
      <c r="K148" s="416">
        <f t="shared" si="16"/>
        <v>3.3217489967919879E-2</v>
      </c>
      <c r="L148" s="490" t="s">
        <v>883</v>
      </c>
      <c r="M148" s="401" t="s">
        <v>1094</v>
      </c>
      <c r="N148" s="401" t="s">
        <v>1094</v>
      </c>
      <c r="O148" s="401" t="s">
        <v>1094</v>
      </c>
      <c r="P148" s="401" t="s">
        <v>1094</v>
      </c>
      <c r="Q148" s="490" t="s">
        <v>883</v>
      </c>
      <c r="R148" s="490" t="s">
        <v>883</v>
      </c>
      <c r="S148" s="490" t="s">
        <v>883</v>
      </c>
      <c r="T148" s="490" t="s">
        <v>883</v>
      </c>
      <c r="U148" s="490" t="s">
        <v>883</v>
      </c>
      <c r="V148" s="284" t="s">
        <v>820</v>
      </c>
      <c r="W148" s="279"/>
      <c r="X148" s="279"/>
      <c r="Y148" s="287">
        <f t="shared" si="20"/>
        <v>30</v>
      </c>
      <c r="Z148" s="287">
        <v>480</v>
      </c>
      <c r="AA148" s="286">
        <v>903.13867871933735</v>
      </c>
      <c r="AB148" s="261">
        <f t="shared" si="18"/>
        <v>2.0733211173538508E-2</v>
      </c>
      <c r="AC148" s="261">
        <f t="shared" si="19"/>
        <v>0.33173137877661613</v>
      </c>
      <c r="AD148" s="297"/>
      <c r="AE148" s="290" t="s">
        <v>292</v>
      </c>
      <c r="AF148" s="291">
        <v>4</v>
      </c>
      <c r="AG148" s="292" t="s">
        <v>1034</v>
      </c>
      <c r="AH148" s="377" t="s">
        <v>946</v>
      </c>
    </row>
    <row r="149" spans="1:41" s="107" customFormat="1">
      <c r="A149" s="242" t="s">
        <v>853</v>
      </c>
      <c r="B149" s="297" t="s">
        <v>1256</v>
      </c>
      <c r="C149" s="108" t="s">
        <v>227</v>
      </c>
      <c r="D149" s="502" t="s">
        <v>883</v>
      </c>
      <c r="E149" s="499" t="s">
        <v>1094</v>
      </c>
      <c r="F149" s="494" t="s">
        <v>883</v>
      </c>
      <c r="G149" s="412" t="s">
        <v>1094</v>
      </c>
      <c r="H149" s="412" t="s">
        <v>1094</v>
      </c>
      <c r="I149" s="495" t="s">
        <v>1094</v>
      </c>
      <c r="J149" s="490" t="s">
        <v>883</v>
      </c>
      <c r="K149" s="416">
        <f t="shared" si="16"/>
        <v>5.6390977443609026E-4</v>
      </c>
      <c r="L149" s="490" t="s">
        <v>883</v>
      </c>
      <c r="M149" s="401" t="s">
        <v>1094</v>
      </c>
      <c r="N149" s="401" t="s">
        <v>1094</v>
      </c>
      <c r="O149" s="490" t="s">
        <v>883</v>
      </c>
      <c r="P149" s="490" t="s">
        <v>883</v>
      </c>
      <c r="Q149" s="490" t="s">
        <v>883</v>
      </c>
      <c r="R149" s="401" t="s">
        <v>1094</v>
      </c>
      <c r="S149" s="401" t="s">
        <v>1094</v>
      </c>
      <c r="T149" s="401" t="s">
        <v>1094</v>
      </c>
      <c r="U149" s="401" t="s">
        <v>1094</v>
      </c>
      <c r="V149" s="284">
        <f t="shared" ref="V149:V180" si="21">35/AC149</f>
        <v>0.35822368421052631</v>
      </c>
      <c r="W149" s="279"/>
      <c r="X149" s="279"/>
      <c r="Y149" s="287">
        <f t="shared" si="20"/>
        <v>150</v>
      </c>
      <c r="Z149" s="287">
        <v>2400</v>
      </c>
      <c r="AA149" s="288">
        <v>266000</v>
      </c>
      <c r="AB149" s="261">
        <f t="shared" si="18"/>
        <v>6.1065197428833793</v>
      </c>
      <c r="AC149" s="261">
        <f t="shared" si="19"/>
        <v>97.704315886134069</v>
      </c>
      <c r="AD149" s="297"/>
      <c r="AE149" s="290" t="s">
        <v>292</v>
      </c>
      <c r="AF149" s="291">
        <v>7</v>
      </c>
      <c r="AG149" s="292" t="s">
        <v>1034</v>
      </c>
      <c r="AH149" s="293"/>
    </row>
    <row r="150" spans="1:41" s="107" customFormat="1">
      <c r="A150" s="242" t="s">
        <v>853</v>
      </c>
      <c r="B150" s="282" t="s">
        <v>374</v>
      </c>
      <c r="C150" s="106" t="s">
        <v>790</v>
      </c>
      <c r="D150" s="491" t="s">
        <v>883</v>
      </c>
      <c r="E150" s="491" t="s">
        <v>1094</v>
      </c>
      <c r="F150" s="490" t="s">
        <v>883</v>
      </c>
      <c r="G150" s="411" t="s">
        <v>1094</v>
      </c>
      <c r="H150" s="411" t="s">
        <v>1094</v>
      </c>
      <c r="I150" s="490" t="s">
        <v>883</v>
      </c>
      <c r="J150" s="411" t="s">
        <v>883</v>
      </c>
      <c r="K150" s="416">
        <f t="shared" si="16"/>
        <v>2.5111607142857144E-2</v>
      </c>
      <c r="L150" s="401" t="s">
        <v>1094</v>
      </c>
      <c r="M150" s="401" t="s">
        <v>1094</v>
      </c>
      <c r="N150" s="401" t="s">
        <v>1094</v>
      </c>
      <c r="O150" s="401" t="s">
        <v>1094</v>
      </c>
      <c r="P150" s="401" t="s">
        <v>1094</v>
      </c>
      <c r="Q150" s="401" t="s">
        <v>1094</v>
      </c>
      <c r="R150" s="401" t="s">
        <v>1094</v>
      </c>
      <c r="S150" s="401" t="s">
        <v>1094</v>
      </c>
      <c r="T150" s="401" t="s">
        <v>1094</v>
      </c>
      <c r="U150" s="401" t="s">
        <v>1094</v>
      </c>
      <c r="V150" s="284">
        <f t="shared" si="21"/>
        <v>170.15625</v>
      </c>
      <c r="W150" s="279"/>
      <c r="X150" s="279"/>
      <c r="Y150" s="287">
        <f t="shared" si="20"/>
        <v>14.0625</v>
      </c>
      <c r="Z150" s="287">
        <v>225</v>
      </c>
      <c r="AA150" s="288">
        <v>560</v>
      </c>
      <c r="AB150" s="261">
        <f t="shared" si="18"/>
        <v>1.2855831037649219E-2</v>
      </c>
      <c r="AC150" s="261">
        <f t="shared" si="19"/>
        <v>0.2056932966023875</v>
      </c>
      <c r="AD150" s="297"/>
      <c r="AE150" s="290" t="s">
        <v>525</v>
      </c>
      <c r="AF150" s="291">
        <v>6</v>
      </c>
      <c r="AG150" s="292" t="s">
        <v>1034</v>
      </c>
      <c r="AH150" s="293" t="s">
        <v>949</v>
      </c>
    </row>
    <row r="151" spans="1:41" s="107" customFormat="1">
      <c r="A151" s="242" t="s">
        <v>853</v>
      </c>
      <c r="B151" s="282" t="s">
        <v>375</v>
      </c>
      <c r="C151" s="121" t="s">
        <v>686</v>
      </c>
      <c r="D151" s="490" t="s">
        <v>883</v>
      </c>
      <c r="E151" s="490" t="s">
        <v>883</v>
      </c>
      <c r="F151" s="490" t="s">
        <v>1094</v>
      </c>
      <c r="G151" s="411" t="s">
        <v>1094</v>
      </c>
      <c r="H151" s="411" t="s">
        <v>1094</v>
      </c>
      <c r="I151" s="411" t="s">
        <v>1094</v>
      </c>
      <c r="J151" s="490" t="s">
        <v>883</v>
      </c>
      <c r="K151" s="416">
        <f t="shared" si="16"/>
        <v>1.58125E-2</v>
      </c>
      <c r="L151" s="401" t="s">
        <v>1094</v>
      </c>
      <c r="M151" s="401" t="s">
        <v>1094</v>
      </c>
      <c r="N151" s="401" t="s">
        <v>1094</v>
      </c>
      <c r="O151" s="401" t="s">
        <v>1094</v>
      </c>
      <c r="P151" s="401" t="s">
        <v>1094</v>
      </c>
      <c r="Q151" s="401" t="s">
        <v>1094</v>
      </c>
      <c r="R151" s="401" t="s">
        <v>1094</v>
      </c>
      <c r="S151" s="401" t="s">
        <v>1094</v>
      </c>
      <c r="T151" s="401" t="s">
        <v>1094</v>
      </c>
      <c r="U151" s="401" t="s">
        <v>1094</v>
      </c>
      <c r="V151" s="284">
        <f t="shared" si="21"/>
        <v>9.5287500000000005</v>
      </c>
      <c r="W151" s="299"/>
      <c r="X151" s="299"/>
      <c r="Y151" s="287">
        <f t="shared" si="20"/>
        <v>158.125</v>
      </c>
      <c r="Z151" s="287">
        <v>2530</v>
      </c>
      <c r="AA151" s="288">
        <v>10000</v>
      </c>
      <c r="AB151" s="261">
        <f t="shared" si="18"/>
        <v>0.2295684113865932</v>
      </c>
      <c r="AC151" s="261">
        <f t="shared" si="19"/>
        <v>3.6730945821854912</v>
      </c>
      <c r="AD151" s="282"/>
      <c r="AE151" s="290" t="s">
        <v>863</v>
      </c>
      <c r="AF151" s="291">
        <v>6</v>
      </c>
      <c r="AG151" s="292" t="s">
        <v>1034</v>
      </c>
      <c r="AH151" s="293" t="s">
        <v>985</v>
      </c>
    </row>
    <row r="152" spans="1:41" s="107" customFormat="1">
      <c r="A152" s="242" t="s">
        <v>853</v>
      </c>
      <c r="B152" s="282" t="s">
        <v>376</v>
      </c>
      <c r="C152" s="121" t="s">
        <v>776</v>
      </c>
      <c r="D152" s="494" t="s">
        <v>883</v>
      </c>
      <c r="E152" s="495" t="s">
        <v>1094</v>
      </c>
      <c r="F152" s="490" t="s">
        <v>1094</v>
      </c>
      <c r="G152" s="411" t="s">
        <v>1094</v>
      </c>
      <c r="H152" s="490" t="s">
        <v>1094</v>
      </c>
      <c r="I152" s="490" t="s">
        <v>1094</v>
      </c>
      <c r="J152" s="490" t="s">
        <v>883</v>
      </c>
      <c r="K152" s="416">
        <f t="shared" si="16"/>
        <v>1.3636363636363637E-3</v>
      </c>
      <c r="L152" s="490" t="s">
        <v>883</v>
      </c>
      <c r="M152" s="490" t="s">
        <v>883</v>
      </c>
      <c r="N152" s="490" t="s">
        <v>883</v>
      </c>
      <c r="O152" s="490" t="s">
        <v>883</v>
      </c>
      <c r="P152" s="490" t="s">
        <v>883</v>
      </c>
      <c r="Q152" s="401" t="s">
        <v>1094</v>
      </c>
      <c r="R152" s="490" t="s">
        <v>883</v>
      </c>
      <c r="S152" s="401" t="s">
        <v>1094</v>
      </c>
      <c r="T152" s="490" t="s">
        <v>883</v>
      </c>
      <c r="U152" s="490" t="s">
        <v>883</v>
      </c>
      <c r="V152" s="284">
        <f t="shared" si="21"/>
        <v>4.3312499999999998</v>
      </c>
      <c r="W152" s="299"/>
      <c r="X152" s="299"/>
      <c r="Y152" s="287">
        <f t="shared" si="20"/>
        <v>30</v>
      </c>
      <c r="Z152" s="287">
        <v>480</v>
      </c>
      <c r="AA152" s="288">
        <v>22000</v>
      </c>
      <c r="AB152" s="261">
        <f t="shared" si="18"/>
        <v>0.50505050505050508</v>
      </c>
      <c r="AC152" s="261">
        <f t="shared" si="19"/>
        <v>8.0808080808080813</v>
      </c>
      <c r="AD152" s="282"/>
      <c r="AE152" s="290" t="s">
        <v>294</v>
      </c>
      <c r="AF152" s="291">
        <v>4</v>
      </c>
      <c r="AG152" s="292" t="s">
        <v>1034</v>
      </c>
      <c r="AH152" s="293" t="s">
        <v>946</v>
      </c>
    </row>
    <row r="153" spans="1:41" s="107" customFormat="1">
      <c r="A153" s="242" t="s">
        <v>853</v>
      </c>
      <c r="B153" s="282" t="s">
        <v>377</v>
      </c>
      <c r="C153" s="121" t="s">
        <v>699</v>
      </c>
      <c r="D153" s="490" t="s">
        <v>883</v>
      </c>
      <c r="E153" s="490" t="s">
        <v>883</v>
      </c>
      <c r="F153" s="490" t="s">
        <v>1094</v>
      </c>
      <c r="G153" s="411" t="s">
        <v>1094</v>
      </c>
      <c r="H153" s="411" t="s">
        <v>1094</v>
      </c>
      <c r="I153" s="411" t="s">
        <v>1094</v>
      </c>
      <c r="J153" s="490" t="s">
        <v>1094</v>
      </c>
      <c r="K153" s="416">
        <f t="shared" si="16"/>
        <v>8.1521739130434775E-6</v>
      </c>
      <c r="L153" s="401" t="s">
        <v>1094</v>
      </c>
      <c r="M153" s="401" t="s">
        <v>1094</v>
      </c>
      <c r="N153" s="401" t="s">
        <v>1094</v>
      </c>
      <c r="O153" s="401" t="s">
        <v>1094</v>
      </c>
      <c r="P153" s="401" t="s">
        <v>1094</v>
      </c>
      <c r="Q153" s="401" t="s">
        <v>1094</v>
      </c>
      <c r="R153" s="401" t="s">
        <v>1094</v>
      </c>
      <c r="S153" s="401" t="s">
        <v>1094</v>
      </c>
      <c r="T153" s="401" t="s">
        <v>1094</v>
      </c>
      <c r="U153" s="401" t="s">
        <v>1094</v>
      </c>
      <c r="V153" s="284">
        <f t="shared" si="21"/>
        <v>4.1429347826086954E-2</v>
      </c>
      <c r="W153" s="299"/>
      <c r="X153" s="299"/>
      <c r="Y153" s="287">
        <f t="shared" si="20"/>
        <v>18.75</v>
      </c>
      <c r="Z153" s="287">
        <v>300</v>
      </c>
      <c r="AA153" s="288">
        <v>2300000</v>
      </c>
      <c r="AB153" s="261">
        <f t="shared" si="18"/>
        <v>52.800734618916437</v>
      </c>
      <c r="AC153" s="261">
        <f t="shared" si="19"/>
        <v>844.81175390266299</v>
      </c>
      <c r="AD153" s="282"/>
      <c r="AE153" s="290" t="s">
        <v>294</v>
      </c>
      <c r="AF153" s="291">
        <v>3</v>
      </c>
      <c r="AG153" s="292" t="s">
        <v>1034</v>
      </c>
      <c r="AH153" s="293" t="s">
        <v>1236</v>
      </c>
    </row>
    <row r="154" spans="1:41" s="107" customFormat="1">
      <c r="A154" s="242" t="s">
        <v>853</v>
      </c>
      <c r="B154" s="282" t="s">
        <v>378</v>
      </c>
      <c r="C154" s="122" t="s">
        <v>516</v>
      </c>
      <c r="D154" s="496" t="s">
        <v>1094</v>
      </c>
      <c r="E154" s="490" t="s">
        <v>883</v>
      </c>
      <c r="F154" s="490" t="s">
        <v>883</v>
      </c>
      <c r="G154" s="411" t="s">
        <v>1094</v>
      </c>
      <c r="H154" s="411" t="s">
        <v>1094</v>
      </c>
      <c r="I154" s="490" t="s">
        <v>883</v>
      </c>
      <c r="J154" s="411" t="s">
        <v>1094</v>
      </c>
      <c r="K154" s="416">
        <f t="shared" si="16"/>
        <v>5.4545454545454548E-4</v>
      </c>
      <c r="L154" s="490" t="s">
        <v>883</v>
      </c>
      <c r="M154" s="401" t="s">
        <v>1094</v>
      </c>
      <c r="N154" s="490" t="s">
        <v>883</v>
      </c>
      <c r="O154" s="401" t="s">
        <v>1094</v>
      </c>
      <c r="P154" s="401" t="s">
        <v>1094</v>
      </c>
      <c r="Q154" s="490" t="s">
        <v>883</v>
      </c>
      <c r="R154" s="401" t="s">
        <v>1094</v>
      </c>
      <c r="S154" s="401" t="s">
        <v>1094</v>
      </c>
      <c r="T154" s="490" t="s">
        <v>883</v>
      </c>
      <c r="U154" s="490" t="s">
        <v>883</v>
      </c>
      <c r="V154" s="284">
        <f t="shared" si="21"/>
        <v>2.1656249999999999</v>
      </c>
      <c r="W154" s="299"/>
      <c r="X154" s="299"/>
      <c r="Y154" s="287">
        <f t="shared" si="20"/>
        <v>24</v>
      </c>
      <c r="Z154" s="287">
        <v>384</v>
      </c>
      <c r="AA154" s="288">
        <v>44000</v>
      </c>
      <c r="AB154" s="261">
        <f t="shared" si="18"/>
        <v>1.0101010101010102</v>
      </c>
      <c r="AC154" s="261">
        <f t="shared" si="19"/>
        <v>16.161616161616163</v>
      </c>
      <c r="AD154" s="282"/>
      <c r="AE154" s="290" t="s">
        <v>863</v>
      </c>
      <c r="AF154" s="291">
        <v>7</v>
      </c>
      <c r="AG154" s="292" t="s">
        <v>1034</v>
      </c>
      <c r="AH154" s="293" t="s">
        <v>963</v>
      </c>
    </row>
    <row r="155" spans="1:41" s="107" customFormat="1">
      <c r="A155" s="242" t="s">
        <v>853</v>
      </c>
      <c r="B155" s="297" t="s">
        <v>1257</v>
      </c>
      <c r="C155" s="121" t="s">
        <v>694</v>
      </c>
      <c r="D155" s="490" t="s">
        <v>883</v>
      </c>
      <c r="E155" s="490" t="s">
        <v>883</v>
      </c>
      <c r="F155" s="490" t="s">
        <v>1094</v>
      </c>
      <c r="G155" s="411" t="s">
        <v>1094</v>
      </c>
      <c r="H155" s="411" t="s">
        <v>1094</v>
      </c>
      <c r="I155" s="490" t="s">
        <v>1094</v>
      </c>
      <c r="J155" s="490" t="s">
        <v>883</v>
      </c>
      <c r="K155" s="416">
        <f t="shared" si="16"/>
        <v>8.8888888888888893E-4</v>
      </c>
      <c r="L155" s="490" t="s">
        <v>883</v>
      </c>
      <c r="M155" s="401" t="s">
        <v>1094</v>
      </c>
      <c r="N155" s="401" t="s">
        <v>1094</v>
      </c>
      <c r="O155" s="401" t="s">
        <v>1094</v>
      </c>
      <c r="P155" s="401" t="s">
        <v>1094</v>
      </c>
      <c r="Q155" s="401" t="s">
        <v>1094</v>
      </c>
      <c r="R155" s="490" t="s">
        <v>883</v>
      </c>
      <c r="S155" s="401" t="s">
        <v>1094</v>
      </c>
      <c r="T155" s="490" t="s">
        <v>883</v>
      </c>
      <c r="U155" s="490" t="s">
        <v>883</v>
      </c>
      <c r="V155" s="284">
        <f t="shared" si="21"/>
        <v>1.0587500000000001</v>
      </c>
      <c r="W155" s="299"/>
      <c r="X155" s="299"/>
      <c r="Y155" s="287">
        <v>80</v>
      </c>
      <c r="Z155" s="287">
        <v>1280</v>
      </c>
      <c r="AA155" s="288">
        <v>90000</v>
      </c>
      <c r="AB155" s="261">
        <f t="shared" si="18"/>
        <v>2.0661157024793386</v>
      </c>
      <c r="AC155" s="261">
        <f t="shared" si="19"/>
        <v>33.057851239669418</v>
      </c>
      <c r="AD155" s="282"/>
      <c r="AE155" s="290" t="s">
        <v>863</v>
      </c>
      <c r="AF155" s="291">
        <v>7</v>
      </c>
      <c r="AG155" s="292" t="s">
        <v>1034</v>
      </c>
      <c r="AH155" s="293" t="s">
        <v>1236</v>
      </c>
    </row>
    <row r="156" spans="1:41" s="107" customFormat="1">
      <c r="A156" s="242" t="s">
        <v>853</v>
      </c>
      <c r="B156" s="282" t="s">
        <v>379</v>
      </c>
      <c r="C156" s="121" t="s">
        <v>531</v>
      </c>
      <c r="D156" s="490" t="s">
        <v>883</v>
      </c>
      <c r="E156" s="490" t="s">
        <v>883</v>
      </c>
      <c r="F156" s="490" t="s">
        <v>1094</v>
      </c>
      <c r="G156" s="411" t="s">
        <v>1094</v>
      </c>
      <c r="H156" s="411" t="s">
        <v>1094</v>
      </c>
      <c r="I156" s="411" t="s">
        <v>1094</v>
      </c>
      <c r="J156" s="490" t="s">
        <v>883</v>
      </c>
      <c r="K156" s="416">
        <f t="shared" si="16"/>
        <v>2.8409090909090908E-4</v>
      </c>
      <c r="L156" s="401" t="s">
        <v>1094</v>
      </c>
      <c r="M156" s="401" t="s">
        <v>1094</v>
      </c>
      <c r="N156" s="401" t="s">
        <v>1094</v>
      </c>
      <c r="O156" s="401" t="s">
        <v>1094</v>
      </c>
      <c r="P156" s="401" t="s">
        <v>1094</v>
      </c>
      <c r="Q156" s="401" t="s">
        <v>1094</v>
      </c>
      <c r="R156" s="401" t="s">
        <v>1094</v>
      </c>
      <c r="S156" s="401" t="s">
        <v>1094</v>
      </c>
      <c r="T156" s="401" t="s">
        <v>1094</v>
      </c>
      <c r="U156" s="401" t="s">
        <v>1094</v>
      </c>
      <c r="V156" s="284">
        <f t="shared" si="21"/>
        <v>1.4437500000000001</v>
      </c>
      <c r="W156" s="299"/>
      <c r="X156" s="299"/>
      <c r="Y156" s="287">
        <f>SUM(Z156/16)</f>
        <v>18.75</v>
      </c>
      <c r="Z156" s="287">
        <v>300</v>
      </c>
      <c r="AA156" s="288">
        <v>66000</v>
      </c>
      <c r="AB156" s="261">
        <f t="shared" si="18"/>
        <v>1.5151515151515151</v>
      </c>
      <c r="AC156" s="261">
        <f t="shared" si="19"/>
        <v>24.242424242424242</v>
      </c>
      <c r="AD156" s="282"/>
      <c r="AE156" s="290" t="s">
        <v>294</v>
      </c>
      <c r="AF156" s="291">
        <v>3</v>
      </c>
      <c r="AG156" s="292" t="s">
        <v>1034</v>
      </c>
      <c r="AH156" s="293" t="s">
        <v>946</v>
      </c>
      <c r="AI156" s="209"/>
      <c r="AJ156" s="209"/>
      <c r="AK156" s="209"/>
      <c r="AL156" s="209"/>
      <c r="AM156" s="209"/>
      <c r="AN156" s="209"/>
      <c r="AO156" s="209"/>
    </row>
    <row r="157" spans="1:41" s="107" customFormat="1">
      <c r="A157" s="242" t="s">
        <v>853</v>
      </c>
      <c r="B157" s="282" t="s">
        <v>380</v>
      </c>
      <c r="C157" s="106" t="s">
        <v>605</v>
      </c>
      <c r="D157" s="490" t="s">
        <v>883</v>
      </c>
      <c r="E157" s="491" t="s">
        <v>1094</v>
      </c>
      <c r="F157" s="491" t="s">
        <v>1094</v>
      </c>
      <c r="G157" s="411" t="s">
        <v>1094</v>
      </c>
      <c r="H157" s="490" t="s">
        <v>1094</v>
      </c>
      <c r="I157" s="411" t="s">
        <v>1094</v>
      </c>
      <c r="J157" s="490" t="s">
        <v>883</v>
      </c>
      <c r="K157" s="416">
        <f t="shared" si="16"/>
        <v>3.5714285714285714E-4</v>
      </c>
      <c r="L157" s="401" t="s">
        <v>1094</v>
      </c>
      <c r="M157" s="401" t="s">
        <v>1094</v>
      </c>
      <c r="N157" s="401" t="s">
        <v>1094</v>
      </c>
      <c r="O157" s="401" t="s">
        <v>1094</v>
      </c>
      <c r="P157" s="401" t="s">
        <v>1094</v>
      </c>
      <c r="Q157" s="401" t="s">
        <v>1094</v>
      </c>
      <c r="R157" s="401" t="s">
        <v>1094</v>
      </c>
      <c r="S157" s="401" t="s">
        <v>1094</v>
      </c>
      <c r="T157" s="401" t="s">
        <v>1094</v>
      </c>
      <c r="U157" s="401" t="s">
        <v>1094</v>
      </c>
      <c r="V157" s="284">
        <f t="shared" si="21"/>
        <v>4.5375000000000005</v>
      </c>
      <c r="W157" s="299"/>
      <c r="X157" s="299"/>
      <c r="Y157" s="287">
        <f>SUM(Z157/16)</f>
        <v>7.5</v>
      </c>
      <c r="Z157" s="287">
        <v>120</v>
      </c>
      <c r="AA157" s="288">
        <v>21000</v>
      </c>
      <c r="AB157" s="261">
        <f t="shared" si="18"/>
        <v>0.48209366391184572</v>
      </c>
      <c r="AC157" s="261">
        <f t="shared" si="19"/>
        <v>7.7134986225895315</v>
      </c>
      <c r="AD157" s="282"/>
      <c r="AE157" s="290" t="s">
        <v>294</v>
      </c>
      <c r="AF157" s="291">
        <v>2</v>
      </c>
      <c r="AG157" s="292" t="s">
        <v>1036</v>
      </c>
      <c r="AH157" s="293" t="s">
        <v>986</v>
      </c>
    </row>
    <row r="158" spans="1:41" s="107" customFormat="1">
      <c r="A158" s="242" t="s">
        <v>853</v>
      </c>
      <c r="B158" s="282" t="s">
        <v>381</v>
      </c>
      <c r="C158" s="121" t="s">
        <v>651</v>
      </c>
      <c r="D158" s="490" t="s">
        <v>883</v>
      </c>
      <c r="E158" s="490" t="s">
        <v>1094</v>
      </c>
      <c r="F158" s="490" t="s">
        <v>1094</v>
      </c>
      <c r="G158" s="411" t="s">
        <v>1094</v>
      </c>
      <c r="H158" s="411" t="s">
        <v>1094</v>
      </c>
      <c r="I158" s="411" t="s">
        <v>1094</v>
      </c>
      <c r="J158" s="490" t="s">
        <v>883</v>
      </c>
      <c r="K158" s="416">
        <f t="shared" si="16"/>
        <v>4.0178571428571428E-4</v>
      </c>
      <c r="L158" s="490" t="s">
        <v>883</v>
      </c>
      <c r="M158" s="401" t="s">
        <v>1094</v>
      </c>
      <c r="N158" s="401" t="s">
        <v>1094</v>
      </c>
      <c r="O158" s="490" t="s">
        <v>883</v>
      </c>
      <c r="P158" s="401" t="s">
        <v>1094</v>
      </c>
      <c r="Q158" s="401" t="s">
        <v>1094</v>
      </c>
      <c r="R158" s="490" t="s">
        <v>883</v>
      </c>
      <c r="S158" s="401" t="s">
        <v>1094</v>
      </c>
      <c r="T158" s="490" t="s">
        <v>883</v>
      </c>
      <c r="U158" s="490" t="s">
        <v>883</v>
      </c>
      <c r="V158" s="284">
        <f t="shared" si="21"/>
        <v>1.3612500000000001</v>
      </c>
      <c r="W158" s="299"/>
      <c r="X158" s="299"/>
      <c r="Y158" s="287">
        <f>SUM(Z158/16)</f>
        <v>28.125</v>
      </c>
      <c r="Z158" s="287">
        <v>450</v>
      </c>
      <c r="AA158" s="288">
        <v>70000</v>
      </c>
      <c r="AB158" s="261">
        <f t="shared" si="18"/>
        <v>1.6069788797061524</v>
      </c>
      <c r="AC158" s="261">
        <f t="shared" si="19"/>
        <v>25.711662075298438</v>
      </c>
      <c r="AD158" s="282"/>
      <c r="AE158" s="290" t="s">
        <v>863</v>
      </c>
      <c r="AF158" s="291">
        <v>7</v>
      </c>
      <c r="AG158" s="292" t="s">
        <v>1034</v>
      </c>
      <c r="AH158" s="293" t="s">
        <v>949</v>
      </c>
    </row>
    <row r="159" spans="1:41" s="107" customFormat="1">
      <c r="A159" s="529" t="s">
        <v>853</v>
      </c>
      <c r="B159" s="530" t="s">
        <v>11233</v>
      </c>
      <c r="C159" s="552" t="s">
        <v>3308</v>
      </c>
      <c r="D159" s="547" t="s">
        <v>883</v>
      </c>
      <c r="E159" s="553" t="s">
        <v>883</v>
      </c>
      <c r="F159" s="547" t="s">
        <v>1094</v>
      </c>
      <c r="G159" s="548" t="s">
        <v>1094</v>
      </c>
      <c r="H159" s="548" t="s">
        <v>1094</v>
      </c>
      <c r="I159" s="547" t="s">
        <v>1094</v>
      </c>
      <c r="J159" s="547" t="s">
        <v>883</v>
      </c>
      <c r="K159" s="533">
        <f t="shared" si="16"/>
        <v>1.2121212121212121E-4</v>
      </c>
      <c r="L159" s="547" t="s">
        <v>1094</v>
      </c>
      <c r="M159" s="533" t="s">
        <v>1094</v>
      </c>
      <c r="N159" s="547" t="s">
        <v>1094</v>
      </c>
      <c r="O159" s="533" t="s">
        <v>1094</v>
      </c>
      <c r="P159" s="547" t="s">
        <v>1094</v>
      </c>
      <c r="Q159" s="533" t="s">
        <v>1094</v>
      </c>
      <c r="R159" s="533" t="s">
        <v>1094</v>
      </c>
      <c r="S159" s="547" t="s">
        <v>1094</v>
      </c>
      <c r="T159" s="533" t="s">
        <v>1094</v>
      </c>
      <c r="U159" s="533" t="s">
        <v>1094</v>
      </c>
      <c r="V159" s="534">
        <f t="shared" si="21"/>
        <v>1.4437500000000001</v>
      </c>
      <c r="W159" s="549"/>
      <c r="X159" s="549"/>
      <c r="Y159" s="537">
        <v>8</v>
      </c>
      <c r="Z159" s="537">
        <v>120</v>
      </c>
      <c r="AA159" s="538">
        <v>66000</v>
      </c>
      <c r="AB159" s="516">
        <f t="shared" si="18"/>
        <v>1.5151515151515151</v>
      </c>
      <c r="AC159" s="516">
        <f t="shared" si="19"/>
        <v>24.242424242424242</v>
      </c>
      <c r="AD159" s="530"/>
      <c r="AE159" s="540" t="s">
        <v>863</v>
      </c>
      <c r="AF159" s="541"/>
      <c r="AG159" s="542" t="s">
        <v>1034</v>
      </c>
      <c r="AH159" s="543" t="s">
        <v>946</v>
      </c>
    </row>
    <row r="160" spans="1:41" s="107" customFormat="1">
      <c r="A160" s="242" t="s">
        <v>853</v>
      </c>
      <c r="B160" s="282" t="s">
        <v>382</v>
      </c>
      <c r="C160" s="121" t="s">
        <v>643</v>
      </c>
      <c r="D160" s="490" t="s">
        <v>883</v>
      </c>
      <c r="E160" s="490" t="s">
        <v>883</v>
      </c>
      <c r="F160" s="490" t="s">
        <v>1094</v>
      </c>
      <c r="G160" s="411" t="s">
        <v>1094</v>
      </c>
      <c r="H160" s="490" t="s">
        <v>1094</v>
      </c>
      <c r="I160" s="490" t="s">
        <v>1094</v>
      </c>
      <c r="J160" s="490" t="s">
        <v>883</v>
      </c>
      <c r="K160" s="416">
        <f t="shared" si="16"/>
        <v>3.1250000000000001E-4</v>
      </c>
      <c r="L160" s="490" t="s">
        <v>883</v>
      </c>
      <c r="M160" s="401" t="s">
        <v>1094</v>
      </c>
      <c r="N160" s="401" t="s">
        <v>1094</v>
      </c>
      <c r="O160" s="401" t="s">
        <v>1094</v>
      </c>
      <c r="P160" s="401" t="s">
        <v>1094</v>
      </c>
      <c r="Q160" s="401" t="s">
        <v>1094</v>
      </c>
      <c r="R160" s="401" t="s">
        <v>1094</v>
      </c>
      <c r="S160" s="401" t="s">
        <v>1094</v>
      </c>
      <c r="T160" s="401" t="s">
        <v>1094</v>
      </c>
      <c r="U160" s="401" t="s">
        <v>1094</v>
      </c>
      <c r="V160" s="284">
        <f t="shared" si="21"/>
        <v>1.588125</v>
      </c>
      <c r="W160" s="299"/>
      <c r="X160" s="299"/>
      <c r="Y160" s="287">
        <f t="shared" ref="Y160:Y180" si="22">SUM(Z160/16)</f>
        <v>18.75</v>
      </c>
      <c r="Z160" s="287">
        <v>300</v>
      </c>
      <c r="AA160" s="288">
        <v>60000</v>
      </c>
      <c r="AB160" s="261">
        <f t="shared" si="18"/>
        <v>1.3774104683195592</v>
      </c>
      <c r="AC160" s="261">
        <f t="shared" si="19"/>
        <v>22.038567493112946</v>
      </c>
      <c r="AD160" s="282"/>
      <c r="AE160" s="290" t="s">
        <v>294</v>
      </c>
      <c r="AF160" s="291">
        <v>3</v>
      </c>
      <c r="AG160" s="292" t="s">
        <v>1034</v>
      </c>
      <c r="AH160" s="293" t="s">
        <v>958</v>
      </c>
      <c r="AI160" s="219"/>
      <c r="AK160" s="219"/>
      <c r="AM160" s="219"/>
      <c r="AN160" s="219"/>
      <c r="AO160" s="219"/>
    </row>
    <row r="161" spans="1:41" s="107" customFormat="1">
      <c r="A161" s="242" t="s">
        <v>853</v>
      </c>
      <c r="B161" s="282" t="s">
        <v>383</v>
      </c>
      <c r="C161" s="121" t="s">
        <v>714</v>
      </c>
      <c r="D161" s="490" t="s">
        <v>883</v>
      </c>
      <c r="E161" s="490" t="s">
        <v>1094</v>
      </c>
      <c r="F161" s="490" t="s">
        <v>1094</v>
      </c>
      <c r="G161" s="411" t="s">
        <v>1094</v>
      </c>
      <c r="H161" s="411" t="s">
        <v>1094</v>
      </c>
      <c r="I161" s="411" t="s">
        <v>1094</v>
      </c>
      <c r="J161" s="490" t="s">
        <v>883</v>
      </c>
      <c r="K161" s="416">
        <f t="shared" si="16"/>
        <v>1.3636363636363637E-3</v>
      </c>
      <c r="L161" s="490" t="s">
        <v>883</v>
      </c>
      <c r="M161" s="401" t="s">
        <v>1094</v>
      </c>
      <c r="N161" s="401" t="s">
        <v>1094</v>
      </c>
      <c r="O161" s="401" t="s">
        <v>1094</v>
      </c>
      <c r="P161" s="401" t="s">
        <v>1094</v>
      </c>
      <c r="Q161" s="490" t="s">
        <v>883</v>
      </c>
      <c r="R161" s="401" t="s">
        <v>1094</v>
      </c>
      <c r="S161" s="401" t="s">
        <v>1094</v>
      </c>
      <c r="T161" s="401" t="s">
        <v>1094</v>
      </c>
      <c r="U161" s="490" t="s">
        <v>883</v>
      </c>
      <c r="V161" s="284">
        <f t="shared" si="21"/>
        <v>4.3312499999999998</v>
      </c>
      <c r="W161" s="299"/>
      <c r="X161" s="299"/>
      <c r="Y161" s="287">
        <f t="shared" si="22"/>
        <v>30</v>
      </c>
      <c r="Z161" s="287">
        <v>480</v>
      </c>
      <c r="AA161" s="288">
        <v>22000</v>
      </c>
      <c r="AB161" s="261">
        <f t="shared" si="18"/>
        <v>0.50505050505050508</v>
      </c>
      <c r="AC161" s="261">
        <f t="shared" si="19"/>
        <v>8.0808080808080813</v>
      </c>
      <c r="AD161" s="282"/>
      <c r="AE161" s="290" t="s">
        <v>294</v>
      </c>
      <c r="AF161" s="291">
        <v>6</v>
      </c>
      <c r="AG161" s="292" t="s">
        <v>1034</v>
      </c>
      <c r="AH161" s="293" t="s">
        <v>946</v>
      </c>
    </row>
    <row r="162" spans="1:41" s="107" customFormat="1">
      <c r="A162" s="242" t="s">
        <v>853</v>
      </c>
      <c r="B162" s="282" t="s">
        <v>1258</v>
      </c>
      <c r="C162" s="121" t="s">
        <v>681</v>
      </c>
      <c r="D162" s="490" t="s">
        <v>1094</v>
      </c>
      <c r="E162" s="490" t="s">
        <v>883</v>
      </c>
      <c r="F162" s="490" t="s">
        <v>883</v>
      </c>
      <c r="G162" s="411" t="s">
        <v>1094</v>
      </c>
      <c r="H162" s="411" t="s">
        <v>1094</v>
      </c>
      <c r="I162" s="490" t="s">
        <v>883</v>
      </c>
      <c r="J162" s="490" t="s">
        <v>883</v>
      </c>
      <c r="K162" s="416">
        <f t="shared" si="16"/>
        <v>4.2857142857142859E-3</v>
      </c>
      <c r="L162" s="490" t="s">
        <v>883</v>
      </c>
      <c r="M162" s="490" t="s">
        <v>883</v>
      </c>
      <c r="N162" s="490" t="s">
        <v>883</v>
      </c>
      <c r="O162" s="490" t="s">
        <v>883</v>
      </c>
      <c r="P162" s="401" t="s">
        <v>1094</v>
      </c>
      <c r="Q162" s="490" t="s">
        <v>883</v>
      </c>
      <c r="R162" s="490" t="s">
        <v>883</v>
      </c>
      <c r="S162" s="490" t="s">
        <v>883</v>
      </c>
      <c r="T162" s="490" t="s">
        <v>883</v>
      </c>
      <c r="U162" s="490" t="s">
        <v>883</v>
      </c>
      <c r="V162" s="284">
        <f t="shared" si="21"/>
        <v>6.8062500000000004</v>
      </c>
      <c r="W162" s="285"/>
      <c r="X162" s="286"/>
      <c r="Y162" s="287">
        <f t="shared" si="22"/>
        <v>60</v>
      </c>
      <c r="Z162" s="287">
        <v>960</v>
      </c>
      <c r="AA162" s="288">
        <v>14000</v>
      </c>
      <c r="AB162" s="261">
        <f t="shared" si="18"/>
        <v>0.32139577594123048</v>
      </c>
      <c r="AC162" s="261">
        <f t="shared" si="19"/>
        <v>5.1423324150596876</v>
      </c>
      <c r="AD162" s="289"/>
      <c r="AE162" s="290" t="s">
        <v>294</v>
      </c>
      <c r="AF162" s="291">
        <v>10</v>
      </c>
      <c r="AG162" s="292" t="s">
        <v>1034</v>
      </c>
      <c r="AH162" s="293" t="s">
        <v>946</v>
      </c>
    </row>
    <row r="163" spans="1:41" s="107" customFormat="1">
      <c r="A163" s="242" t="s">
        <v>853</v>
      </c>
      <c r="B163" s="297" t="s">
        <v>1259</v>
      </c>
      <c r="C163" s="121" t="s">
        <v>667</v>
      </c>
      <c r="D163" s="490" t="s">
        <v>1094</v>
      </c>
      <c r="E163" s="490" t="s">
        <v>1094</v>
      </c>
      <c r="F163" s="490" t="s">
        <v>883</v>
      </c>
      <c r="G163" s="411" t="s">
        <v>1094</v>
      </c>
      <c r="H163" s="411" t="s">
        <v>1094</v>
      </c>
      <c r="I163" s="490" t="s">
        <v>883</v>
      </c>
      <c r="J163" s="490" t="s">
        <v>883</v>
      </c>
      <c r="K163" s="416">
        <f t="shared" si="16"/>
        <v>5.9523809523809529E-4</v>
      </c>
      <c r="L163" s="401" t="s">
        <v>1094</v>
      </c>
      <c r="M163" s="401" t="s">
        <v>1094</v>
      </c>
      <c r="N163" s="401" t="s">
        <v>1094</v>
      </c>
      <c r="O163" s="401" t="s">
        <v>1094</v>
      </c>
      <c r="P163" s="401" t="s">
        <v>1094</v>
      </c>
      <c r="Q163" s="401" t="s">
        <v>1094</v>
      </c>
      <c r="R163" s="401" t="s">
        <v>1094</v>
      </c>
      <c r="S163" s="401" t="s">
        <v>1094</v>
      </c>
      <c r="T163" s="401" t="s">
        <v>1094</v>
      </c>
      <c r="U163" s="401" t="s">
        <v>1094</v>
      </c>
      <c r="V163" s="284">
        <f t="shared" si="21"/>
        <v>15.125000000000002</v>
      </c>
      <c r="W163" s="299"/>
      <c r="X163" s="299"/>
      <c r="Y163" s="287">
        <f t="shared" si="22"/>
        <v>3.75</v>
      </c>
      <c r="Z163" s="287">
        <v>60</v>
      </c>
      <c r="AA163" s="288">
        <v>6300</v>
      </c>
      <c r="AB163" s="261">
        <f t="shared" si="18"/>
        <v>0.14462809917355371</v>
      </c>
      <c r="AC163" s="261">
        <f t="shared" si="19"/>
        <v>2.3140495867768593</v>
      </c>
      <c r="AD163" s="282"/>
      <c r="AE163" s="290" t="s">
        <v>294</v>
      </c>
      <c r="AF163" s="291">
        <v>4</v>
      </c>
      <c r="AG163" s="292" t="s">
        <v>1034</v>
      </c>
      <c r="AH163" s="293" t="s">
        <v>960</v>
      </c>
    </row>
    <row r="164" spans="1:41" s="107" customFormat="1">
      <c r="A164" s="242" t="s">
        <v>853</v>
      </c>
      <c r="B164" s="282" t="s">
        <v>384</v>
      </c>
      <c r="C164" s="108" t="s">
        <v>233</v>
      </c>
      <c r="D164" s="497" t="s">
        <v>1094</v>
      </c>
      <c r="E164" s="490" t="s">
        <v>1094</v>
      </c>
      <c r="F164" s="490" t="s">
        <v>883</v>
      </c>
      <c r="G164" s="411" t="s">
        <v>1094</v>
      </c>
      <c r="H164" s="411" t="s">
        <v>1094</v>
      </c>
      <c r="I164" s="490" t="s">
        <v>883</v>
      </c>
      <c r="J164" s="490" t="s">
        <v>1094</v>
      </c>
      <c r="K164" s="416">
        <f t="shared" si="16"/>
        <v>5.2083333333333337E-5</v>
      </c>
      <c r="L164" s="490" t="s">
        <v>883</v>
      </c>
      <c r="M164" s="401" t="s">
        <v>1094</v>
      </c>
      <c r="N164" s="401" t="s">
        <v>1094</v>
      </c>
      <c r="O164" s="490" t="s">
        <v>883</v>
      </c>
      <c r="P164" s="401" t="s">
        <v>1094</v>
      </c>
      <c r="Q164" s="490" t="s">
        <v>883</v>
      </c>
      <c r="R164" s="401" t="s">
        <v>1094</v>
      </c>
      <c r="S164" s="401" t="s">
        <v>1094</v>
      </c>
      <c r="T164" s="490" t="s">
        <v>883</v>
      </c>
      <c r="U164" s="490" t="s">
        <v>883</v>
      </c>
      <c r="V164" s="284">
        <f t="shared" si="21"/>
        <v>0.52937500000000004</v>
      </c>
      <c r="W164" s="299"/>
      <c r="X164" s="299"/>
      <c r="Y164" s="287">
        <f t="shared" si="22"/>
        <v>9.375</v>
      </c>
      <c r="Z164" s="287">
        <v>150</v>
      </c>
      <c r="AA164" s="288">
        <v>180000</v>
      </c>
      <c r="AB164" s="261">
        <f t="shared" si="18"/>
        <v>4.1322314049586772</v>
      </c>
      <c r="AC164" s="261">
        <f t="shared" si="19"/>
        <v>66.115702479338836</v>
      </c>
      <c r="AD164" s="282"/>
      <c r="AE164" s="290" t="s">
        <v>525</v>
      </c>
      <c r="AF164" s="291">
        <v>4</v>
      </c>
      <c r="AG164" s="292" t="s">
        <v>1034</v>
      </c>
      <c r="AH164" s="293" t="s">
        <v>974</v>
      </c>
    </row>
    <row r="165" spans="1:41" s="107" customFormat="1">
      <c r="A165" s="242" t="s">
        <v>853</v>
      </c>
      <c r="B165" s="282" t="s">
        <v>385</v>
      </c>
      <c r="C165" s="121" t="s">
        <v>640</v>
      </c>
      <c r="D165" s="490" t="s">
        <v>1094</v>
      </c>
      <c r="E165" s="490" t="s">
        <v>1094</v>
      </c>
      <c r="F165" s="490" t="s">
        <v>883</v>
      </c>
      <c r="G165" s="411" t="s">
        <v>1094</v>
      </c>
      <c r="H165" s="411" t="s">
        <v>1094</v>
      </c>
      <c r="I165" s="490" t="s">
        <v>883</v>
      </c>
      <c r="J165" s="490" t="s">
        <v>883</v>
      </c>
      <c r="K165" s="416">
        <f t="shared" si="16"/>
        <v>1.0817307692307693E-3</v>
      </c>
      <c r="L165" s="401" t="s">
        <v>1094</v>
      </c>
      <c r="M165" s="401" t="s">
        <v>1094</v>
      </c>
      <c r="N165" s="401" t="s">
        <v>1094</v>
      </c>
      <c r="O165" s="401" t="s">
        <v>1094</v>
      </c>
      <c r="P165" s="401" t="s">
        <v>1094</v>
      </c>
      <c r="Q165" s="401" t="s">
        <v>1094</v>
      </c>
      <c r="R165" s="401" t="s">
        <v>1094</v>
      </c>
      <c r="S165" s="401" t="s">
        <v>1094</v>
      </c>
      <c r="T165" s="401" t="s">
        <v>1094</v>
      </c>
      <c r="U165" s="401" t="s">
        <v>1094</v>
      </c>
      <c r="V165" s="284">
        <f t="shared" si="21"/>
        <v>18.32451923076923</v>
      </c>
      <c r="W165" s="299"/>
      <c r="X165" s="299"/>
      <c r="Y165" s="287">
        <f t="shared" si="22"/>
        <v>5.625</v>
      </c>
      <c r="Z165" s="287">
        <v>90</v>
      </c>
      <c r="AA165" s="288">
        <v>5200</v>
      </c>
      <c r="AB165" s="261">
        <f t="shared" si="18"/>
        <v>0.11937557392102846</v>
      </c>
      <c r="AC165" s="261">
        <f t="shared" si="19"/>
        <v>1.9100091827364554</v>
      </c>
      <c r="AD165" s="282"/>
      <c r="AE165" s="290" t="s">
        <v>863</v>
      </c>
      <c r="AF165" s="291">
        <v>7</v>
      </c>
      <c r="AG165" s="292" t="s">
        <v>1034</v>
      </c>
      <c r="AH165" s="293" t="s">
        <v>987</v>
      </c>
    </row>
    <row r="166" spans="1:41" s="107" customFormat="1">
      <c r="A166" s="242" t="s">
        <v>853</v>
      </c>
      <c r="B166" s="282" t="s">
        <v>386</v>
      </c>
      <c r="C166" s="121" t="s">
        <v>739</v>
      </c>
      <c r="D166" s="494" t="s">
        <v>883</v>
      </c>
      <c r="E166" s="495" t="s">
        <v>1094</v>
      </c>
      <c r="F166" s="495" t="s">
        <v>1094</v>
      </c>
      <c r="G166" s="411" t="s">
        <v>1094</v>
      </c>
      <c r="H166" s="411" t="s">
        <v>1094</v>
      </c>
      <c r="I166" s="490" t="s">
        <v>883</v>
      </c>
      <c r="J166" s="490" t="s">
        <v>883</v>
      </c>
      <c r="K166" s="416">
        <f t="shared" si="16"/>
        <v>3.605769230769231E-3</v>
      </c>
      <c r="L166" s="490" t="s">
        <v>883</v>
      </c>
      <c r="M166" s="401" t="s">
        <v>1094</v>
      </c>
      <c r="N166" s="401" t="s">
        <v>1094</v>
      </c>
      <c r="O166" s="401" t="s">
        <v>1094</v>
      </c>
      <c r="P166" s="401" t="s">
        <v>1094</v>
      </c>
      <c r="Q166" s="401" t="s">
        <v>1094</v>
      </c>
      <c r="R166" s="401" t="s">
        <v>1094</v>
      </c>
      <c r="S166" s="401" t="s">
        <v>1094</v>
      </c>
      <c r="T166" s="401" t="s">
        <v>1094</v>
      </c>
      <c r="U166" s="401" t="s">
        <v>1094</v>
      </c>
      <c r="V166" s="284">
        <f t="shared" si="21"/>
        <v>18.32451923076923</v>
      </c>
      <c r="W166" s="299"/>
      <c r="X166" s="299"/>
      <c r="Y166" s="287">
        <f t="shared" si="22"/>
        <v>18.75</v>
      </c>
      <c r="Z166" s="287">
        <v>300</v>
      </c>
      <c r="AA166" s="288">
        <v>5200</v>
      </c>
      <c r="AB166" s="261">
        <f t="shared" si="18"/>
        <v>0.11937557392102846</v>
      </c>
      <c r="AC166" s="261">
        <f t="shared" si="19"/>
        <v>1.9100091827364554</v>
      </c>
      <c r="AD166" s="282"/>
      <c r="AE166" s="290" t="s">
        <v>863</v>
      </c>
      <c r="AF166" s="291">
        <v>0</v>
      </c>
      <c r="AG166" s="292" t="s">
        <v>1034</v>
      </c>
      <c r="AH166" s="293" t="s">
        <v>949</v>
      </c>
    </row>
    <row r="167" spans="1:41" s="107" customFormat="1">
      <c r="A167" s="242" t="s">
        <v>853</v>
      </c>
      <c r="B167" s="282" t="s">
        <v>387</v>
      </c>
      <c r="C167" s="121" t="s">
        <v>1077</v>
      </c>
      <c r="D167" s="490" t="s">
        <v>1094</v>
      </c>
      <c r="E167" s="490" t="s">
        <v>1094</v>
      </c>
      <c r="F167" s="490" t="s">
        <v>883</v>
      </c>
      <c r="G167" s="411" t="s">
        <v>1094</v>
      </c>
      <c r="H167" s="411" t="s">
        <v>1094</v>
      </c>
      <c r="I167" s="490" t="s">
        <v>883</v>
      </c>
      <c r="J167" s="490" t="s">
        <v>1094</v>
      </c>
      <c r="K167" s="416">
        <f t="shared" si="16"/>
        <v>1.3392857142857144E-4</v>
      </c>
      <c r="L167" s="401" t="s">
        <v>1094</v>
      </c>
      <c r="M167" s="401" t="s">
        <v>1094</v>
      </c>
      <c r="N167" s="401" t="s">
        <v>1094</v>
      </c>
      <c r="O167" s="401" t="s">
        <v>1094</v>
      </c>
      <c r="P167" s="401" t="s">
        <v>1094</v>
      </c>
      <c r="Q167" s="490" t="s">
        <v>883</v>
      </c>
      <c r="R167" s="401" t="s">
        <v>1094</v>
      </c>
      <c r="S167" s="401" t="s">
        <v>1094</v>
      </c>
      <c r="T167" s="401" t="s">
        <v>1094</v>
      </c>
      <c r="U167" s="401" t="s">
        <v>1094</v>
      </c>
      <c r="V167" s="284">
        <f t="shared" si="21"/>
        <v>0.68062500000000004</v>
      </c>
      <c r="W167" s="299"/>
      <c r="X167" s="299"/>
      <c r="Y167" s="287">
        <f t="shared" si="22"/>
        <v>18.75</v>
      </c>
      <c r="Z167" s="287">
        <v>300</v>
      </c>
      <c r="AA167" s="288">
        <v>140000</v>
      </c>
      <c r="AB167" s="261">
        <f t="shared" si="18"/>
        <v>3.2139577594123048</v>
      </c>
      <c r="AC167" s="261">
        <f t="shared" si="19"/>
        <v>51.423324150596876</v>
      </c>
      <c r="AD167" s="282"/>
      <c r="AE167" s="290" t="s">
        <v>294</v>
      </c>
      <c r="AF167" s="291">
        <v>4</v>
      </c>
      <c r="AG167" s="292" t="s">
        <v>1034</v>
      </c>
      <c r="AH167" s="293" t="s">
        <v>1236</v>
      </c>
    </row>
    <row r="168" spans="1:41" s="107" customFormat="1">
      <c r="A168" s="242" t="s">
        <v>853</v>
      </c>
      <c r="B168" s="282" t="s">
        <v>388</v>
      </c>
      <c r="C168" s="106" t="s">
        <v>800</v>
      </c>
      <c r="D168" s="491" t="s">
        <v>883</v>
      </c>
      <c r="E168" s="491" t="s">
        <v>1094</v>
      </c>
      <c r="F168" s="490" t="s">
        <v>883</v>
      </c>
      <c r="G168" s="411" t="s">
        <v>1094</v>
      </c>
      <c r="H168" s="411" t="s">
        <v>1094</v>
      </c>
      <c r="I168" s="490" t="s">
        <v>883</v>
      </c>
      <c r="J168" s="490" t="s">
        <v>1094</v>
      </c>
      <c r="K168" s="416">
        <f t="shared" si="16"/>
        <v>1.5625000000000001E-3</v>
      </c>
      <c r="L168" s="490" t="s">
        <v>883</v>
      </c>
      <c r="M168" s="401" t="s">
        <v>1094</v>
      </c>
      <c r="N168" s="401" t="s">
        <v>1094</v>
      </c>
      <c r="O168" s="490" t="s">
        <v>883</v>
      </c>
      <c r="P168" s="490" t="s">
        <v>883</v>
      </c>
      <c r="Q168" s="490" t="s">
        <v>883</v>
      </c>
      <c r="R168" s="401" t="s">
        <v>1094</v>
      </c>
      <c r="S168" s="401" t="s">
        <v>1094</v>
      </c>
      <c r="T168" s="401" t="s">
        <v>1094</v>
      </c>
      <c r="U168" s="401" t="s">
        <v>1094</v>
      </c>
      <c r="V168" s="284">
        <f t="shared" si="21"/>
        <v>15.88125</v>
      </c>
      <c r="W168" s="299"/>
      <c r="X168" s="299"/>
      <c r="Y168" s="287">
        <f t="shared" si="22"/>
        <v>9.375</v>
      </c>
      <c r="Z168" s="287">
        <v>150</v>
      </c>
      <c r="AA168" s="288">
        <v>6000</v>
      </c>
      <c r="AB168" s="261">
        <f t="shared" si="18"/>
        <v>0.13774104683195593</v>
      </c>
      <c r="AC168" s="261">
        <f t="shared" si="19"/>
        <v>2.2038567493112948</v>
      </c>
      <c r="AD168" s="282"/>
      <c r="AE168" s="290" t="s">
        <v>294</v>
      </c>
      <c r="AF168" s="291">
        <v>5</v>
      </c>
      <c r="AG168" s="292" t="s">
        <v>1034</v>
      </c>
      <c r="AH168" s="293" t="s">
        <v>946</v>
      </c>
    </row>
    <row r="169" spans="1:41" s="107" customFormat="1">
      <c r="A169" s="242" t="s">
        <v>853</v>
      </c>
      <c r="B169" s="282" t="s">
        <v>389</v>
      </c>
      <c r="C169" s="121" t="s">
        <v>675</v>
      </c>
      <c r="D169" s="490" t="s">
        <v>883</v>
      </c>
      <c r="E169" s="490" t="s">
        <v>1094</v>
      </c>
      <c r="F169" s="490" t="s">
        <v>1094</v>
      </c>
      <c r="G169" s="411" t="s">
        <v>883</v>
      </c>
      <c r="H169" s="411" t="s">
        <v>1094</v>
      </c>
      <c r="I169" s="490" t="s">
        <v>883</v>
      </c>
      <c r="J169" s="411" t="s">
        <v>1094</v>
      </c>
      <c r="K169" s="416">
        <f t="shared" si="16"/>
        <v>1.7578125E-2</v>
      </c>
      <c r="L169" s="401" t="s">
        <v>1094</v>
      </c>
      <c r="M169" s="401" t="s">
        <v>1094</v>
      </c>
      <c r="N169" s="401" t="s">
        <v>1094</v>
      </c>
      <c r="O169" s="401" t="s">
        <v>1094</v>
      </c>
      <c r="P169" s="401" t="s">
        <v>1094</v>
      </c>
      <c r="Q169" s="401" t="s">
        <v>1094</v>
      </c>
      <c r="R169" s="401" t="s">
        <v>1094</v>
      </c>
      <c r="S169" s="401" t="s">
        <v>1094</v>
      </c>
      <c r="T169" s="401" t="s">
        <v>1094</v>
      </c>
      <c r="U169" s="401" t="s">
        <v>1094</v>
      </c>
      <c r="V169" s="284">
        <f t="shared" si="21"/>
        <v>59.5546875</v>
      </c>
      <c r="W169" s="299"/>
      <c r="X169" s="299"/>
      <c r="Y169" s="287">
        <f t="shared" si="22"/>
        <v>28.125</v>
      </c>
      <c r="Z169" s="287">
        <v>450</v>
      </c>
      <c r="AA169" s="288">
        <v>1600</v>
      </c>
      <c r="AB169" s="261">
        <f t="shared" si="18"/>
        <v>3.6730945821854911E-2</v>
      </c>
      <c r="AC169" s="261">
        <f t="shared" si="19"/>
        <v>0.58769513314967858</v>
      </c>
      <c r="AD169" s="282"/>
      <c r="AE169" s="290" t="s">
        <v>294</v>
      </c>
      <c r="AF169" s="291">
        <v>5</v>
      </c>
      <c r="AG169" s="292" t="s">
        <v>1036</v>
      </c>
      <c r="AH169" s="293" t="s">
        <v>988</v>
      </c>
    </row>
    <row r="170" spans="1:41" s="209" customFormat="1">
      <c r="A170" s="242" t="s">
        <v>853</v>
      </c>
      <c r="B170" s="282" t="s">
        <v>390</v>
      </c>
      <c r="C170" s="122" t="s">
        <v>517</v>
      </c>
      <c r="D170" s="496" t="s">
        <v>1094</v>
      </c>
      <c r="E170" s="496" t="s">
        <v>883</v>
      </c>
      <c r="F170" s="490" t="s">
        <v>883</v>
      </c>
      <c r="G170" s="411" t="s">
        <v>1094</v>
      </c>
      <c r="H170" s="411" t="s">
        <v>1094</v>
      </c>
      <c r="I170" s="490" t="s">
        <v>883</v>
      </c>
      <c r="J170" s="411" t="s">
        <v>1094</v>
      </c>
      <c r="K170" s="416">
        <f t="shared" si="16"/>
        <v>6.6964285714285711E-3</v>
      </c>
      <c r="L170" s="401" t="s">
        <v>1094</v>
      </c>
      <c r="M170" s="401" t="s">
        <v>1094</v>
      </c>
      <c r="N170" s="401" t="s">
        <v>1094</v>
      </c>
      <c r="O170" s="401" t="s">
        <v>1094</v>
      </c>
      <c r="P170" s="401" t="s">
        <v>1094</v>
      </c>
      <c r="Q170" s="401" t="s">
        <v>1094</v>
      </c>
      <c r="R170" s="401" t="s">
        <v>1094</v>
      </c>
      <c r="S170" s="401" t="s">
        <v>1094</v>
      </c>
      <c r="T170" s="401" t="s">
        <v>1094</v>
      </c>
      <c r="U170" s="401" t="s">
        <v>1094</v>
      </c>
      <c r="V170" s="284">
        <f t="shared" si="21"/>
        <v>22.6875</v>
      </c>
      <c r="W170" s="299"/>
      <c r="X170" s="299"/>
      <c r="Y170" s="287">
        <f t="shared" si="22"/>
        <v>28.125</v>
      </c>
      <c r="Z170" s="287">
        <v>450</v>
      </c>
      <c r="AA170" s="288">
        <v>4200</v>
      </c>
      <c r="AB170" s="261">
        <f t="shared" si="18"/>
        <v>9.6418732782369149E-2</v>
      </c>
      <c r="AC170" s="261">
        <f t="shared" si="19"/>
        <v>1.5426997245179064</v>
      </c>
      <c r="AD170" s="282"/>
      <c r="AE170" s="290" t="s">
        <v>294</v>
      </c>
      <c r="AF170" s="291">
        <v>5</v>
      </c>
      <c r="AG170" s="292" t="s">
        <v>1034</v>
      </c>
      <c r="AH170" s="293" t="s">
        <v>963</v>
      </c>
      <c r="AI170" s="107"/>
      <c r="AJ170" s="107"/>
      <c r="AK170" s="107"/>
      <c r="AL170" s="107"/>
      <c r="AM170" s="107"/>
      <c r="AN170" s="107"/>
      <c r="AO170" s="107"/>
    </row>
    <row r="171" spans="1:41" s="107" customFormat="1">
      <c r="A171" s="242" t="s">
        <v>853</v>
      </c>
      <c r="B171" s="281" t="s">
        <v>1308</v>
      </c>
      <c r="C171" s="121" t="s">
        <v>637</v>
      </c>
      <c r="D171" s="490" t="s">
        <v>1094</v>
      </c>
      <c r="E171" s="490" t="s">
        <v>1094</v>
      </c>
      <c r="F171" s="490" t="s">
        <v>883</v>
      </c>
      <c r="G171" s="490" t="s">
        <v>883</v>
      </c>
      <c r="H171" s="411" t="s">
        <v>1094</v>
      </c>
      <c r="I171" s="490" t="s">
        <v>883</v>
      </c>
      <c r="J171" s="411" t="s">
        <v>1094</v>
      </c>
      <c r="K171" s="416">
        <f t="shared" si="16"/>
        <v>1.6326530612244899E-2</v>
      </c>
      <c r="L171" s="490" t="s">
        <v>883</v>
      </c>
      <c r="M171" s="401" t="s">
        <v>1094</v>
      </c>
      <c r="N171" s="490" t="s">
        <v>883</v>
      </c>
      <c r="O171" s="401" t="s">
        <v>1094</v>
      </c>
      <c r="P171" s="401" t="s">
        <v>1094</v>
      </c>
      <c r="Q171" s="401" t="s">
        <v>1094</v>
      </c>
      <c r="R171" s="401" t="s">
        <v>1094</v>
      </c>
      <c r="S171" s="401" t="s">
        <v>1094</v>
      </c>
      <c r="T171" s="401" t="s">
        <v>1094</v>
      </c>
      <c r="U171" s="490" t="s">
        <v>883</v>
      </c>
      <c r="V171" s="284">
        <f t="shared" si="21"/>
        <v>19.446428571428573</v>
      </c>
      <c r="W171" s="299"/>
      <c r="X171" s="299"/>
      <c r="Y171" s="287">
        <f t="shared" si="22"/>
        <v>80</v>
      </c>
      <c r="Z171" s="287">
        <v>1280</v>
      </c>
      <c r="AA171" s="288">
        <v>4900</v>
      </c>
      <c r="AB171" s="261">
        <f t="shared" si="18"/>
        <v>0.11248852157943066</v>
      </c>
      <c r="AC171" s="261">
        <f t="shared" si="19"/>
        <v>1.7998163452708906</v>
      </c>
      <c r="AD171" s="282"/>
      <c r="AE171" s="290" t="s">
        <v>294</v>
      </c>
      <c r="AF171" s="291">
        <v>8</v>
      </c>
      <c r="AG171" s="298" t="s">
        <v>1037</v>
      </c>
      <c r="AH171" s="293" t="s">
        <v>980</v>
      </c>
    </row>
    <row r="172" spans="1:41" s="107" customFormat="1">
      <c r="A172" s="242" t="s">
        <v>853</v>
      </c>
      <c r="B172" s="282" t="s">
        <v>391</v>
      </c>
      <c r="C172" s="121" t="s">
        <v>882</v>
      </c>
      <c r="D172" s="490" t="s">
        <v>1094</v>
      </c>
      <c r="E172" s="490" t="s">
        <v>1094</v>
      </c>
      <c r="F172" s="490" t="s">
        <v>883</v>
      </c>
      <c r="G172" s="411" t="s">
        <v>1094</v>
      </c>
      <c r="H172" s="411" t="s">
        <v>1094</v>
      </c>
      <c r="I172" s="490" t="s">
        <v>883</v>
      </c>
      <c r="J172" s="490" t="s">
        <v>883</v>
      </c>
      <c r="K172" s="416">
        <f t="shared" si="16"/>
        <v>5.7870370370370367E-4</v>
      </c>
      <c r="L172" s="401" t="s">
        <v>1094</v>
      </c>
      <c r="M172" s="401" t="s">
        <v>1094</v>
      </c>
      <c r="N172" s="401" t="s">
        <v>1094</v>
      </c>
      <c r="O172" s="401" t="s">
        <v>1094</v>
      </c>
      <c r="P172" s="401" t="s">
        <v>1094</v>
      </c>
      <c r="Q172" s="401" t="s">
        <v>1094</v>
      </c>
      <c r="R172" s="401" t="s">
        <v>1094</v>
      </c>
      <c r="S172" s="401" t="s">
        <v>1094</v>
      </c>
      <c r="T172" s="401" t="s">
        <v>1094</v>
      </c>
      <c r="U172" s="401" t="s">
        <v>1094</v>
      </c>
      <c r="V172" s="284">
        <f t="shared" si="21"/>
        <v>35.291666666666664</v>
      </c>
      <c r="W172" s="299"/>
      <c r="X172" s="299"/>
      <c r="Y172" s="287">
        <f t="shared" si="22"/>
        <v>1.5625</v>
      </c>
      <c r="Z172" s="287">
        <v>25</v>
      </c>
      <c r="AA172" s="288">
        <v>2700</v>
      </c>
      <c r="AB172" s="261">
        <f t="shared" si="18"/>
        <v>6.1983471074380167E-2</v>
      </c>
      <c r="AC172" s="261">
        <f t="shared" si="19"/>
        <v>0.99173553719008267</v>
      </c>
      <c r="AD172" s="282"/>
      <c r="AE172" s="290" t="s">
        <v>294</v>
      </c>
      <c r="AF172" s="291">
        <v>1</v>
      </c>
      <c r="AG172" s="298" t="s">
        <v>1040</v>
      </c>
      <c r="AH172" s="293" t="s">
        <v>984</v>
      </c>
    </row>
    <row r="173" spans="1:41" s="107" customFormat="1">
      <c r="A173" s="242" t="s">
        <v>853</v>
      </c>
      <c r="B173" s="281" t="s">
        <v>1296</v>
      </c>
      <c r="C173" s="108" t="s">
        <v>242</v>
      </c>
      <c r="D173" s="490" t="s">
        <v>883</v>
      </c>
      <c r="E173" s="497" t="s">
        <v>883</v>
      </c>
      <c r="F173" s="497" t="s">
        <v>1094</v>
      </c>
      <c r="G173" s="490" t="s">
        <v>1094</v>
      </c>
      <c r="H173" s="411" t="s">
        <v>1094</v>
      </c>
      <c r="I173" s="411" t="s">
        <v>1094</v>
      </c>
      <c r="J173" s="490" t="s">
        <v>883</v>
      </c>
      <c r="K173" s="416">
        <f t="shared" si="16"/>
        <v>2.8846153846153849E-4</v>
      </c>
      <c r="L173" s="401" t="s">
        <v>1094</v>
      </c>
      <c r="M173" s="401" t="s">
        <v>1094</v>
      </c>
      <c r="N173" s="401" t="s">
        <v>1094</v>
      </c>
      <c r="O173" s="401" t="s">
        <v>1094</v>
      </c>
      <c r="P173" s="401" t="s">
        <v>1094</v>
      </c>
      <c r="Q173" s="401" t="s">
        <v>1094</v>
      </c>
      <c r="R173" s="401" t="s">
        <v>1094</v>
      </c>
      <c r="S173" s="401" t="s">
        <v>1094</v>
      </c>
      <c r="T173" s="401" t="s">
        <v>1094</v>
      </c>
      <c r="U173" s="401" t="s">
        <v>1094</v>
      </c>
      <c r="V173" s="284">
        <f t="shared" si="21"/>
        <v>7.3298076923076927</v>
      </c>
      <c r="W173" s="299"/>
      <c r="X173" s="299"/>
      <c r="Y173" s="287">
        <f t="shared" si="22"/>
        <v>3.75</v>
      </c>
      <c r="Z173" s="287">
        <v>60</v>
      </c>
      <c r="AA173" s="288">
        <v>13000</v>
      </c>
      <c r="AB173" s="261">
        <f t="shared" si="18"/>
        <v>0.29843893480257117</v>
      </c>
      <c r="AC173" s="261">
        <f t="shared" si="19"/>
        <v>4.7750229568411386</v>
      </c>
      <c r="AD173" s="282"/>
      <c r="AE173" s="290" t="s">
        <v>294</v>
      </c>
      <c r="AF173" s="291">
        <v>0</v>
      </c>
      <c r="AG173" s="292" t="s">
        <v>1036</v>
      </c>
      <c r="AH173" s="293" t="s">
        <v>1236</v>
      </c>
    </row>
    <row r="174" spans="1:41" s="107" customFormat="1">
      <c r="A174" s="242" t="s">
        <v>853</v>
      </c>
      <c r="B174" s="297" t="s">
        <v>1260</v>
      </c>
      <c r="C174" s="121" t="s">
        <v>551</v>
      </c>
      <c r="D174" s="490" t="s">
        <v>883</v>
      </c>
      <c r="E174" s="490" t="s">
        <v>883</v>
      </c>
      <c r="F174" s="490" t="s">
        <v>1094</v>
      </c>
      <c r="G174" s="490" t="s">
        <v>883</v>
      </c>
      <c r="H174" s="490" t="s">
        <v>883</v>
      </c>
      <c r="I174" s="411" t="s">
        <v>1094</v>
      </c>
      <c r="J174" s="490" t="s">
        <v>883</v>
      </c>
      <c r="K174" s="416">
        <f t="shared" si="16"/>
        <v>1.8028846153846152E-2</v>
      </c>
      <c r="L174" s="401" t="s">
        <v>1094</v>
      </c>
      <c r="M174" s="401" t="s">
        <v>1094</v>
      </c>
      <c r="N174" s="401" t="s">
        <v>1094</v>
      </c>
      <c r="O174" s="401" t="s">
        <v>1094</v>
      </c>
      <c r="P174" s="401" t="s">
        <v>1094</v>
      </c>
      <c r="Q174" s="401" t="s">
        <v>1094</v>
      </c>
      <c r="R174" s="401" t="s">
        <v>1094</v>
      </c>
      <c r="S174" s="401" t="s">
        <v>1094</v>
      </c>
      <c r="T174" s="401" t="s">
        <v>1094</v>
      </c>
      <c r="U174" s="401" t="s">
        <v>1094</v>
      </c>
      <c r="V174" s="284">
        <f t="shared" si="21"/>
        <v>305.40865384615387</v>
      </c>
      <c r="W174" s="299"/>
      <c r="X174" s="299"/>
      <c r="Y174" s="287">
        <f t="shared" si="22"/>
        <v>5.625</v>
      </c>
      <c r="Z174" s="287">
        <v>90</v>
      </c>
      <c r="AA174" s="288">
        <v>312</v>
      </c>
      <c r="AB174" s="261">
        <f t="shared" si="18"/>
        <v>7.1625344352617077E-3</v>
      </c>
      <c r="AC174" s="261">
        <f t="shared" si="19"/>
        <v>0.11460055096418732</v>
      </c>
      <c r="AD174" s="282"/>
      <c r="AE174" s="290" t="s">
        <v>294</v>
      </c>
      <c r="AF174" s="291">
        <v>7</v>
      </c>
      <c r="AG174" s="292" t="s">
        <v>1034</v>
      </c>
      <c r="AH174" s="293"/>
    </row>
    <row r="175" spans="1:41" s="107" customFormat="1">
      <c r="A175" s="242" t="s">
        <v>853</v>
      </c>
      <c r="B175" s="282" t="s">
        <v>506</v>
      </c>
      <c r="C175" s="121" t="s">
        <v>742</v>
      </c>
      <c r="D175" s="490" t="s">
        <v>1094</v>
      </c>
      <c r="E175" s="490" t="s">
        <v>883</v>
      </c>
      <c r="F175" s="490" t="s">
        <v>883</v>
      </c>
      <c r="G175" s="411" t="s">
        <v>1094</v>
      </c>
      <c r="H175" s="411" t="s">
        <v>1094</v>
      </c>
      <c r="I175" s="490" t="s">
        <v>883</v>
      </c>
      <c r="J175" s="490" t="s">
        <v>883</v>
      </c>
      <c r="K175" s="416">
        <f t="shared" si="16"/>
        <v>2.3053278688524591E-4</v>
      </c>
      <c r="L175" s="490" t="s">
        <v>883</v>
      </c>
      <c r="M175" s="401" t="s">
        <v>1094</v>
      </c>
      <c r="N175" s="401" t="s">
        <v>1094</v>
      </c>
      <c r="O175" s="490" t="s">
        <v>883</v>
      </c>
      <c r="P175" s="490" t="s">
        <v>883</v>
      </c>
      <c r="Q175" s="401" t="s">
        <v>1094</v>
      </c>
      <c r="R175" s="490" t="s">
        <v>883</v>
      </c>
      <c r="S175" s="490" t="s">
        <v>883</v>
      </c>
      <c r="T175" s="401" t="s">
        <v>1094</v>
      </c>
      <c r="U175" s="401" t="s">
        <v>1094</v>
      </c>
      <c r="V175" s="284">
        <f t="shared" si="21"/>
        <v>1.5620901639344262</v>
      </c>
      <c r="W175" s="299"/>
      <c r="X175" s="299"/>
      <c r="Y175" s="287">
        <f t="shared" si="22"/>
        <v>14.0625</v>
      </c>
      <c r="Z175" s="287">
        <v>225</v>
      </c>
      <c r="AA175" s="288">
        <v>61000</v>
      </c>
      <c r="AB175" s="261">
        <f t="shared" si="18"/>
        <v>1.4003673094582185</v>
      </c>
      <c r="AC175" s="261">
        <f t="shared" si="19"/>
        <v>22.405876951331496</v>
      </c>
      <c r="AD175" s="282"/>
      <c r="AE175" s="290" t="s">
        <v>294</v>
      </c>
      <c r="AF175" s="291">
        <v>0</v>
      </c>
      <c r="AG175" s="292" t="s">
        <v>1034</v>
      </c>
      <c r="AH175" s="293" t="s">
        <v>949</v>
      </c>
    </row>
    <row r="176" spans="1:41" s="107" customFormat="1">
      <c r="A176" s="242" t="s">
        <v>853</v>
      </c>
      <c r="B176" s="297" t="s">
        <v>1315</v>
      </c>
      <c r="C176" s="121" t="s">
        <v>635</v>
      </c>
      <c r="D176" s="490" t="s">
        <v>883</v>
      </c>
      <c r="E176" s="490" t="s">
        <v>1094</v>
      </c>
      <c r="F176" s="490" t="s">
        <v>883</v>
      </c>
      <c r="G176" s="490" t="s">
        <v>883</v>
      </c>
      <c r="H176" s="411" t="s">
        <v>1094</v>
      </c>
      <c r="I176" s="490" t="s">
        <v>883</v>
      </c>
      <c r="J176" s="411" t="s">
        <v>1094</v>
      </c>
      <c r="K176" s="416">
        <f t="shared" si="16"/>
        <v>5.9523809523809521E-2</v>
      </c>
      <c r="L176" s="401" t="s">
        <v>1094</v>
      </c>
      <c r="M176" s="401" t="s">
        <v>1094</v>
      </c>
      <c r="N176" s="401" t="s">
        <v>1094</v>
      </c>
      <c r="O176" s="401" t="s">
        <v>1094</v>
      </c>
      <c r="P176" s="401" t="s">
        <v>1094</v>
      </c>
      <c r="Q176" s="401" t="s">
        <v>1094</v>
      </c>
      <c r="R176" s="401" t="s">
        <v>1094</v>
      </c>
      <c r="S176" s="401" t="s">
        <v>1094</v>
      </c>
      <c r="T176" s="401" t="s">
        <v>1094</v>
      </c>
      <c r="U176" s="401" t="s">
        <v>1094</v>
      </c>
      <c r="V176" s="284">
        <f t="shared" si="21"/>
        <v>113.4375</v>
      </c>
      <c r="W176" s="299"/>
      <c r="X176" s="299"/>
      <c r="Y176" s="287">
        <f t="shared" si="22"/>
        <v>50</v>
      </c>
      <c r="Z176" s="287">
        <v>800</v>
      </c>
      <c r="AA176" s="288">
        <v>840</v>
      </c>
      <c r="AB176" s="261">
        <f t="shared" si="18"/>
        <v>1.928374655647383E-2</v>
      </c>
      <c r="AC176" s="261">
        <f t="shared" si="19"/>
        <v>0.30853994490358128</v>
      </c>
      <c r="AD176" s="282"/>
      <c r="AE176" s="290" t="s">
        <v>863</v>
      </c>
      <c r="AF176" s="291">
        <v>5</v>
      </c>
      <c r="AG176" s="298" t="s">
        <v>1037</v>
      </c>
      <c r="AH176" s="293" t="s">
        <v>989</v>
      </c>
    </row>
    <row r="177" spans="1:38" s="107" customFormat="1">
      <c r="A177" s="242" t="s">
        <v>853</v>
      </c>
      <c r="B177" s="282" t="s">
        <v>392</v>
      </c>
      <c r="C177" s="106" t="s">
        <v>802</v>
      </c>
      <c r="D177" s="490" t="s">
        <v>883</v>
      </c>
      <c r="E177" s="491" t="s">
        <v>1094</v>
      </c>
      <c r="F177" s="490" t="s">
        <v>883</v>
      </c>
      <c r="G177" s="490" t="s">
        <v>883</v>
      </c>
      <c r="H177" s="411" t="s">
        <v>1094</v>
      </c>
      <c r="I177" s="490" t="s">
        <v>883</v>
      </c>
      <c r="J177" s="411" t="s">
        <v>1094</v>
      </c>
      <c r="K177" s="416">
        <f t="shared" si="16"/>
        <v>0.02</v>
      </c>
      <c r="L177" s="490" t="s">
        <v>883</v>
      </c>
      <c r="M177" s="490" t="s">
        <v>883</v>
      </c>
      <c r="N177" s="490" t="s">
        <v>883</v>
      </c>
      <c r="O177" s="490" t="s">
        <v>883</v>
      </c>
      <c r="P177" s="401" t="s">
        <v>1094</v>
      </c>
      <c r="Q177" s="490" t="s">
        <v>883</v>
      </c>
      <c r="R177" s="490" t="s">
        <v>883</v>
      </c>
      <c r="S177" s="490" t="s">
        <v>883</v>
      </c>
      <c r="T177" s="490" t="s">
        <v>883</v>
      </c>
      <c r="U177" s="490" t="s">
        <v>883</v>
      </c>
      <c r="V177" s="284">
        <f t="shared" si="21"/>
        <v>31.762499999999999</v>
      </c>
      <c r="W177" s="299"/>
      <c r="X177" s="299"/>
      <c r="Y177" s="287">
        <f t="shared" si="22"/>
        <v>60</v>
      </c>
      <c r="Z177" s="287">
        <v>960</v>
      </c>
      <c r="AA177" s="288">
        <v>3000</v>
      </c>
      <c r="AB177" s="261">
        <f t="shared" si="18"/>
        <v>6.8870523415977963E-2</v>
      </c>
      <c r="AC177" s="261">
        <f t="shared" si="19"/>
        <v>1.1019283746556474</v>
      </c>
      <c r="AD177" s="282"/>
      <c r="AE177" s="290" t="s">
        <v>863</v>
      </c>
      <c r="AF177" s="291">
        <v>6</v>
      </c>
      <c r="AG177" s="292" t="s">
        <v>1034</v>
      </c>
      <c r="AH177" s="293" t="s">
        <v>960</v>
      </c>
    </row>
    <row r="178" spans="1:38" s="107" customFormat="1">
      <c r="A178" s="242" t="s">
        <v>853</v>
      </c>
      <c r="B178" s="282" t="s">
        <v>393</v>
      </c>
      <c r="C178" s="121" t="s">
        <v>684</v>
      </c>
      <c r="D178" s="490" t="s">
        <v>883</v>
      </c>
      <c r="E178" s="490" t="s">
        <v>1094</v>
      </c>
      <c r="F178" s="490" t="s">
        <v>1094</v>
      </c>
      <c r="G178" s="411" t="s">
        <v>1094</v>
      </c>
      <c r="H178" s="411" t="s">
        <v>1094</v>
      </c>
      <c r="I178" s="490" t="s">
        <v>883</v>
      </c>
      <c r="J178" s="490" t="s">
        <v>883</v>
      </c>
      <c r="K178" s="416">
        <f t="shared" si="16"/>
        <v>6.8181818181818187E-4</v>
      </c>
      <c r="L178" s="401" t="s">
        <v>1094</v>
      </c>
      <c r="M178" s="401" t="s">
        <v>1094</v>
      </c>
      <c r="N178" s="401" t="s">
        <v>1094</v>
      </c>
      <c r="O178" s="401" t="s">
        <v>1094</v>
      </c>
      <c r="P178" s="401" t="s">
        <v>1094</v>
      </c>
      <c r="Q178" s="401" t="s">
        <v>1094</v>
      </c>
      <c r="R178" s="401" t="s">
        <v>1094</v>
      </c>
      <c r="S178" s="401" t="s">
        <v>1094</v>
      </c>
      <c r="T178" s="401" t="s">
        <v>1094</v>
      </c>
      <c r="U178" s="401" t="s">
        <v>1094</v>
      </c>
      <c r="V178" s="284">
        <f t="shared" si="21"/>
        <v>8.6624999999999996</v>
      </c>
      <c r="W178" s="299"/>
      <c r="X178" s="299"/>
      <c r="Y178" s="287">
        <f t="shared" si="22"/>
        <v>7.5</v>
      </c>
      <c r="Z178" s="287">
        <v>120</v>
      </c>
      <c r="AA178" s="288">
        <v>11000</v>
      </c>
      <c r="AB178" s="261">
        <f t="shared" si="18"/>
        <v>0.25252525252525254</v>
      </c>
      <c r="AC178" s="261">
        <f t="shared" si="19"/>
        <v>4.0404040404040407</v>
      </c>
      <c r="AD178" s="282"/>
      <c r="AE178" s="290" t="s">
        <v>294</v>
      </c>
      <c r="AF178" s="291">
        <v>6</v>
      </c>
      <c r="AG178" s="292" t="s">
        <v>1034</v>
      </c>
      <c r="AH178" s="293" t="s">
        <v>946</v>
      </c>
    </row>
    <row r="179" spans="1:38" s="107" customFormat="1">
      <c r="A179" s="242" t="s">
        <v>853</v>
      </c>
      <c r="B179" s="297" t="s">
        <v>1261</v>
      </c>
      <c r="C179" s="121" t="s">
        <v>1073</v>
      </c>
      <c r="D179" s="490" t="s">
        <v>1094</v>
      </c>
      <c r="E179" s="490" t="s">
        <v>1094</v>
      </c>
      <c r="F179" s="490" t="s">
        <v>883</v>
      </c>
      <c r="G179" s="411" t="s">
        <v>1094</v>
      </c>
      <c r="H179" s="411" t="s">
        <v>1094</v>
      </c>
      <c r="I179" s="490" t="s">
        <v>883</v>
      </c>
      <c r="J179" s="490" t="s">
        <v>883</v>
      </c>
      <c r="K179" s="416">
        <f t="shared" si="16"/>
        <v>1.0416666666666667E-3</v>
      </c>
      <c r="L179" s="401" t="s">
        <v>1094</v>
      </c>
      <c r="M179" s="401" t="s">
        <v>1094</v>
      </c>
      <c r="N179" s="401" t="s">
        <v>1094</v>
      </c>
      <c r="O179" s="401" t="s">
        <v>1094</v>
      </c>
      <c r="P179" s="401" t="s">
        <v>1094</v>
      </c>
      <c r="Q179" s="401" t="s">
        <v>1094</v>
      </c>
      <c r="R179" s="401" t="s">
        <v>1094</v>
      </c>
      <c r="S179" s="401" t="s">
        <v>1094</v>
      </c>
      <c r="T179" s="401" t="s">
        <v>1094</v>
      </c>
      <c r="U179" s="401" t="s">
        <v>1094</v>
      </c>
      <c r="V179" s="284">
        <f t="shared" si="21"/>
        <v>2.1175000000000002</v>
      </c>
      <c r="W179" s="299"/>
      <c r="X179" s="299"/>
      <c r="Y179" s="287">
        <f t="shared" si="22"/>
        <v>46.875</v>
      </c>
      <c r="Z179" s="287">
        <v>750</v>
      </c>
      <c r="AA179" s="288">
        <v>45000</v>
      </c>
      <c r="AB179" s="261">
        <f t="shared" si="18"/>
        <v>1.0330578512396693</v>
      </c>
      <c r="AC179" s="261">
        <f t="shared" si="19"/>
        <v>16.528925619834709</v>
      </c>
      <c r="AD179" s="282"/>
      <c r="AE179" s="290" t="s">
        <v>525</v>
      </c>
      <c r="AF179" s="291">
        <v>4</v>
      </c>
      <c r="AG179" s="292" t="s">
        <v>1034</v>
      </c>
      <c r="AH179" s="293" t="s">
        <v>990</v>
      </c>
    </row>
    <row r="180" spans="1:38" s="107" customFormat="1">
      <c r="A180" s="242" t="s">
        <v>853</v>
      </c>
      <c r="B180" s="282" t="s">
        <v>394</v>
      </c>
      <c r="C180" s="121" t="s">
        <v>731</v>
      </c>
      <c r="D180" s="490" t="s">
        <v>1094</v>
      </c>
      <c r="E180" s="490" t="s">
        <v>883</v>
      </c>
      <c r="F180" s="490" t="s">
        <v>883</v>
      </c>
      <c r="G180" s="411" t="s">
        <v>1094</v>
      </c>
      <c r="H180" s="411" t="s">
        <v>1094</v>
      </c>
      <c r="I180" s="490" t="s">
        <v>883</v>
      </c>
      <c r="J180" s="490" t="s">
        <v>883</v>
      </c>
      <c r="K180" s="416">
        <f t="shared" si="16"/>
        <v>1.0810810810810811E-3</v>
      </c>
      <c r="L180" s="490" t="s">
        <v>883</v>
      </c>
      <c r="M180" s="401" t="s">
        <v>1094</v>
      </c>
      <c r="N180" s="490" t="s">
        <v>883</v>
      </c>
      <c r="O180" s="401" t="s">
        <v>1094</v>
      </c>
      <c r="P180" s="401" t="s">
        <v>1094</v>
      </c>
      <c r="Q180" s="401" t="s">
        <v>1094</v>
      </c>
      <c r="R180" s="490" t="s">
        <v>883</v>
      </c>
      <c r="S180" s="490" t="s">
        <v>883</v>
      </c>
      <c r="T180" s="490" t="s">
        <v>883</v>
      </c>
      <c r="U180" s="490" t="s">
        <v>883</v>
      </c>
      <c r="V180" s="284">
        <f t="shared" si="21"/>
        <v>2.575337837837838</v>
      </c>
      <c r="W180" s="299"/>
      <c r="X180" s="299"/>
      <c r="Y180" s="287">
        <f t="shared" si="22"/>
        <v>40</v>
      </c>
      <c r="Z180" s="287">
        <v>640</v>
      </c>
      <c r="AA180" s="288">
        <v>37000</v>
      </c>
      <c r="AB180" s="261">
        <f t="shared" si="18"/>
        <v>0.84940312213039482</v>
      </c>
      <c r="AC180" s="261">
        <f t="shared" si="19"/>
        <v>13.590449954086317</v>
      </c>
      <c r="AD180" s="282"/>
      <c r="AE180" s="290" t="s">
        <v>291</v>
      </c>
      <c r="AF180" s="291">
        <v>10</v>
      </c>
      <c r="AG180" s="292" t="s">
        <v>1034</v>
      </c>
      <c r="AH180" s="293" t="s">
        <v>991</v>
      </c>
    </row>
    <row r="181" spans="1:38" s="107" customFormat="1">
      <c r="A181" s="242" t="s">
        <v>853</v>
      </c>
      <c r="B181" s="282" t="s">
        <v>395</v>
      </c>
      <c r="C181" s="121" t="s">
        <v>721</v>
      </c>
      <c r="D181" s="490" t="s">
        <v>1094</v>
      </c>
      <c r="E181" s="490" t="s">
        <v>1094</v>
      </c>
      <c r="F181" s="490" t="s">
        <v>883</v>
      </c>
      <c r="G181" s="411" t="s">
        <v>1094</v>
      </c>
      <c r="H181" s="411" t="s">
        <v>1094</v>
      </c>
      <c r="I181" s="490" t="s">
        <v>883</v>
      </c>
      <c r="J181" s="490" t="s">
        <v>883</v>
      </c>
      <c r="K181" s="416">
        <f t="shared" si="16"/>
        <v>3.4782608695652171E-5</v>
      </c>
      <c r="L181" s="490" t="s">
        <v>883</v>
      </c>
      <c r="M181" s="401" t="s">
        <v>1094</v>
      </c>
      <c r="N181" s="401" t="s">
        <v>1094</v>
      </c>
      <c r="O181" s="401" t="s">
        <v>1094</v>
      </c>
      <c r="P181" s="401" t="s">
        <v>1094</v>
      </c>
      <c r="Q181" s="401" t="s">
        <v>1094</v>
      </c>
      <c r="R181" s="401" t="s">
        <v>1094</v>
      </c>
      <c r="S181" s="401" t="s">
        <v>1094</v>
      </c>
      <c r="T181" s="401" t="s">
        <v>1094</v>
      </c>
      <c r="U181" s="401" t="s">
        <v>1094</v>
      </c>
      <c r="V181" s="284">
        <f t="shared" ref="V181:V212" si="23">35/AC181</f>
        <v>0.41429347826086954</v>
      </c>
      <c r="W181" s="299"/>
      <c r="X181" s="299"/>
      <c r="Y181" s="287">
        <v>8</v>
      </c>
      <c r="Z181" s="287">
        <v>120</v>
      </c>
      <c r="AA181" s="288">
        <v>230000</v>
      </c>
      <c r="AB181" s="261">
        <f t="shared" si="18"/>
        <v>5.2800734618916438</v>
      </c>
      <c r="AC181" s="261">
        <f t="shared" si="19"/>
        <v>84.481175390266301</v>
      </c>
      <c r="AD181" s="282"/>
      <c r="AE181" s="290" t="s">
        <v>294</v>
      </c>
      <c r="AF181" s="291">
        <v>8</v>
      </c>
      <c r="AG181" s="292" t="s">
        <v>1034</v>
      </c>
      <c r="AH181" s="293" t="s">
        <v>992</v>
      </c>
    </row>
    <row r="182" spans="1:38" s="107" customFormat="1">
      <c r="A182" s="242" t="s">
        <v>853</v>
      </c>
      <c r="B182" s="297" t="s">
        <v>1262</v>
      </c>
      <c r="C182" s="121" t="s">
        <v>626</v>
      </c>
      <c r="D182" s="490" t="s">
        <v>1094</v>
      </c>
      <c r="E182" s="490" t="s">
        <v>1094</v>
      </c>
      <c r="F182" s="490" t="s">
        <v>883</v>
      </c>
      <c r="G182" s="411" t="s">
        <v>1094</v>
      </c>
      <c r="H182" s="411" t="s">
        <v>1094</v>
      </c>
      <c r="I182" s="490" t="s">
        <v>883</v>
      </c>
      <c r="J182" s="490" t="s">
        <v>883</v>
      </c>
      <c r="K182" s="416">
        <f t="shared" si="16"/>
        <v>7.4999999999999997E-3</v>
      </c>
      <c r="L182" s="401" t="s">
        <v>1094</v>
      </c>
      <c r="M182" s="401" t="s">
        <v>1094</v>
      </c>
      <c r="N182" s="401" t="s">
        <v>1094</v>
      </c>
      <c r="O182" s="401" t="s">
        <v>1094</v>
      </c>
      <c r="P182" s="401" t="s">
        <v>1094</v>
      </c>
      <c r="Q182" s="401" t="s">
        <v>1094</v>
      </c>
      <c r="R182" s="401" t="s">
        <v>1094</v>
      </c>
      <c r="S182" s="401" t="s">
        <v>1094</v>
      </c>
      <c r="T182" s="401" t="s">
        <v>1094</v>
      </c>
      <c r="U182" s="401" t="s">
        <v>1094</v>
      </c>
      <c r="V182" s="284">
        <f t="shared" si="23"/>
        <v>9.5287500000000005</v>
      </c>
      <c r="W182" s="299"/>
      <c r="X182" s="299"/>
      <c r="Y182" s="287">
        <f t="shared" ref="Y182:Y204" si="24">SUM(Z182/16)</f>
        <v>75</v>
      </c>
      <c r="Z182" s="287">
        <v>1200</v>
      </c>
      <c r="AA182" s="288">
        <v>10000</v>
      </c>
      <c r="AB182" s="261">
        <f t="shared" si="18"/>
        <v>0.2295684113865932</v>
      </c>
      <c r="AC182" s="261">
        <f t="shared" si="19"/>
        <v>3.6730945821854912</v>
      </c>
      <c r="AD182" s="282"/>
      <c r="AE182" s="290" t="s">
        <v>863</v>
      </c>
      <c r="AF182" s="291">
        <v>7</v>
      </c>
      <c r="AG182" s="292" t="s">
        <v>1034</v>
      </c>
      <c r="AH182" s="293" t="s">
        <v>946</v>
      </c>
    </row>
    <row r="183" spans="1:38" s="107" customFormat="1">
      <c r="A183" s="242" t="s">
        <v>853</v>
      </c>
      <c r="B183" s="282" t="s">
        <v>396</v>
      </c>
      <c r="C183" s="121" t="s">
        <v>630</v>
      </c>
      <c r="D183" s="490" t="s">
        <v>883</v>
      </c>
      <c r="E183" s="490" t="s">
        <v>1094</v>
      </c>
      <c r="F183" s="490" t="s">
        <v>883</v>
      </c>
      <c r="G183" s="415" t="s">
        <v>1094</v>
      </c>
      <c r="H183" s="490" t="s">
        <v>883</v>
      </c>
      <c r="I183" s="490" t="s">
        <v>883</v>
      </c>
      <c r="J183" s="490" t="s">
        <v>883</v>
      </c>
      <c r="K183" s="416">
        <f t="shared" si="16"/>
        <v>7.894736842105263E-4</v>
      </c>
      <c r="L183" s="490" t="s">
        <v>883</v>
      </c>
      <c r="M183" s="401" t="s">
        <v>1094</v>
      </c>
      <c r="N183" s="490" t="s">
        <v>883</v>
      </c>
      <c r="O183" s="490" t="s">
        <v>883</v>
      </c>
      <c r="P183" s="490" t="s">
        <v>883</v>
      </c>
      <c r="Q183" s="401" t="s">
        <v>1094</v>
      </c>
      <c r="R183" s="401" t="s">
        <v>1094</v>
      </c>
      <c r="S183" s="401" t="s">
        <v>1094</v>
      </c>
      <c r="T183" s="490" t="s">
        <v>883</v>
      </c>
      <c r="U183" s="490" t="s">
        <v>883</v>
      </c>
      <c r="V183" s="284">
        <f t="shared" si="23"/>
        <v>2.5075657894736842</v>
      </c>
      <c r="W183" s="299"/>
      <c r="X183" s="299"/>
      <c r="Y183" s="287">
        <f t="shared" si="24"/>
        <v>30</v>
      </c>
      <c r="Z183" s="287">
        <v>480</v>
      </c>
      <c r="AA183" s="288">
        <v>38000</v>
      </c>
      <c r="AB183" s="261">
        <f t="shared" si="18"/>
        <v>0.87235996326905418</v>
      </c>
      <c r="AC183" s="261">
        <f t="shared" si="19"/>
        <v>13.957759412304867</v>
      </c>
      <c r="AD183" s="282"/>
      <c r="AE183" s="290" t="s">
        <v>294</v>
      </c>
      <c r="AF183" s="291">
        <v>9</v>
      </c>
      <c r="AG183" s="292" t="s">
        <v>1041</v>
      </c>
      <c r="AH183" s="293" t="s">
        <v>946</v>
      </c>
    </row>
    <row r="184" spans="1:38" s="107" customFormat="1">
      <c r="A184" s="242" t="s">
        <v>853</v>
      </c>
      <c r="B184" s="282" t="s">
        <v>397</v>
      </c>
      <c r="C184" s="121" t="s">
        <v>632</v>
      </c>
      <c r="D184" s="490" t="s">
        <v>1094</v>
      </c>
      <c r="E184" s="490" t="s">
        <v>883</v>
      </c>
      <c r="F184" s="490" t="s">
        <v>883</v>
      </c>
      <c r="G184" s="411" t="s">
        <v>1094</v>
      </c>
      <c r="H184" s="411" t="s">
        <v>1094</v>
      </c>
      <c r="I184" s="490" t="s">
        <v>883</v>
      </c>
      <c r="J184" s="490" t="s">
        <v>883</v>
      </c>
      <c r="K184" s="416">
        <f t="shared" si="16"/>
        <v>2.0833333333333333E-3</v>
      </c>
      <c r="L184" s="401" t="s">
        <v>1094</v>
      </c>
      <c r="M184" s="401" t="s">
        <v>1094</v>
      </c>
      <c r="N184" s="401" t="s">
        <v>1094</v>
      </c>
      <c r="O184" s="401" t="s">
        <v>1094</v>
      </c>
      <c r="P184" s="401" t="s">
        <v>1094</v>
      </c>
      <c r="Q184" s="401" t="s">
        <v>1094</v>
      </c>
      <c r="R184" s="401" t="s">
        <v>1094</v>
      </c>
      <c r="S184" s="401" t="s">
        <v>1094</v>
      </c>
      <c r="T184" s="401" t="s">
        <v>1094</v>
      </c>
      <c r="U184" s="401" t="s">
        <v>1094</v>
      </c>
      <c r="V184" s="284">
        <f t="shared" si="23"/>
        <v>1.588125</v>
      </c>
      <c r="W184" s="299"/>
      <c r="X184" s="299"/>
      <c r="Y184" s="287">
        <f t="shared" si="24"/>
        <v>125</v>
      </c>
      <c r="Z184" s="287">
        <v>2000</v>
      </c>
      <c r="AA184" s="288">
        <v>60000</v>
      </c>
      <c r="AB184" s="261">
        <f t="shared" si="18"/>
        <v>1.3774104683195592</v>
      </c>
      <c r="AC184" s="261">
        <f t="shared" si="19"/>
        <v>22.038567493112946</v>
      </c>
      <c r="AD184" s="282"/>
      <c r="AE184" s="290" t="s">
        <v>863</v>
      </c>
      <c r="AF184" s="291">
        <v>7</v>
      </c>
      <c r="AG184" s="292" t="s">
        <v>1034</v>
      </c>
      <c r="AH184" s="293" t="s">
        <v>946</v>
      </c>
      <c r="AL184" s="219"/>
    </row>
    <row r="185" spans="1:38" s="107" customFormat="1">
      <c r="A185" s="242" t="s">
        <v>853</v>
      </c>
      <c r="B185" s="282" t="s">
        <v>398</v>
      </c>
      <c r="C185" s="106" t="s">
        <v>805</v>
      </c>
      <c r="D185" s="490" t="s">
        <v>883</v>
      </c>
      <c r="E185" s="491" t="s">
        <v>1094</v>
      </c>
      <c r="F185" s="490" t="s">
        <v>883</v>
      </c>
      <c r="G185" s="411" t="s">
        <v>1094</v>
      </c>
      <c r="H185" s="490" t="s">
        <v>883</v>
      </c>
      <c r="I185" s="490" t="s">
        <v>883</v>
      </c>
      <c r="J185" s="490" t="s">
        <v>883</v>
      </c>
      <c r="K185" s="416">
        <f t="shared" si="16"/>
        <v>1.4055555555555556E-2</v>
      </c>
      <c r="L185" s="490" t="s">
        <v>883</v>
      </c>
      <c r="M185" s="401" t="s">
        <v>1094</v>
      </c>
      <c r="N185" s="490" t="s">
        <v>883</v>
      </c>
      <c r="O185" s="401" t="s">
        <v>1094</v>
      </c>
      <c r="P185" s="490" t="s">
        <v>883</v>
      </c>
      <c r="Q185" s="401" t="s">
        <v>1094</v>
      </c>
      <c r="R185" s="401" t="s">
        <v>1094</v>
      </c>
      <c r="S185" s="490" t="s">
        <v>883</v>
      </c>
      <c r="T185" s="401" t="s">
        <v>1094</v>
      </c>
      <c r="U185" s="401" t="s">
        <v>1094</v>
      </c>
      <c r="V185" s="284">
        <f t="shared" si="23"/>
        <v>21.175000000000001</v>
      </c>
      <c r="W185" s="299"/>
      <c r="X185" s="299"/>
      <c r="Y185" s="287">
        <f t="shared" si="24"/>
        <v>63.25</v>
      </c>
      <c r="Z185" s="287">
        <v>1012</v>
      </c>
      <c r="AA185" s="288">
        <v>4500</v>
      </c>
      <c r="AB185" s="261">
        <f t="shared" si="18"/>
        <v>0.10330578512396695</v>
      </c>
      <c r="AC185" s="261">
        <f t="shared" si="19"/>
        <v>1.6528925619834711</v>
      </c>
      <c r="AD185" s="282"/>
      <c r="AE185" s="290" t="s">
        <v>863</v>
      </c>
      <c r="AF185" s="291">
        <v>7</v>
      </c>
      <c r="AG185" s="292" t="s">
        <v>1034</v>
      </c>
      <c r="AH185" s="293" t="s">
        <v>960</v>
      </c>
    </row>
    <row r="186" spans="1:38" s="107" customFormat="1">
      <c r="A186" s="242" t="s">
        <v>853</v>
      </c>
      <c r="B186" s="282" t="s">
        <v>399</v>
      </c>
      <c r="C186" s="121" t="s">
        <v>633</v>
      </c>
      <c r="D186" s="490" t="s">
        <v>1094</v>
      </c>
      <c r="E186" s="490" t="s">
        <v>1094</v>
      </c>
      <c r="F186" s="490" t="s">
        <v>883</v>
      </c>
      <c r="G186" s="411" t="s">
        <v>1094</v>
      </c>
      <c r="H186" s="490" t="s">
        <v>883</v>
      </c>
      <c r="I186" s="490" t="s">
        <v>883</v>
      </c>
      <c r="J186" s="490" t="s">
        <v>883</v>
      </c>
      <c r="K186" s="416">
        <f t="shared" si="16"/>
        <v>6.6964285714285715E-4</v>
      </c>
      <c r="L186" s="401" t="s">
        <v>1094</v>
      </c>
      <c r="M186" s="401" t="s">
        <v>1094</v>
      </c>
      <c r="N186" s="401" t="s">
        <v>1094</v>
      </c>
      <c r="O186" s="401" t="s">
        <v>1094</v>
      </c>
      <c r="P186" s="401" t="s">
        <v>1094</v>
      </c>
      <c r="Q186" s="401" t="s">
        <v>1094</v>
      </c>
      <c r="R186" s="401" t="s">
        <v>1094</v>
      </c>
      <c r="S186" s="401" t="s">
        <v>1094</v>
      </c>
      <c r="T186" s="401" t="s">
        <v>1094</v>
      </c>
      <c r="U186" s="401" t="s">
        <v>1094</v>
      </c>
      <c r="V186" s="284">
        <f t="shared" si="23"/>
        <v>22.6875</v>
      </c>
      <c r="W186" s="299"/>
      <c r="X186" s="299"/>
      <c r="Y186" s="287">
        <f t="shared" si="24"/>
        <v>2.8125</v>
      </c>
      <c r="Z186" s="287">
        <v>45</v>
      </c>
      <c r="AA186" s="288">
        <v>4200</v>
      </c>
      <c r="AB186" s="261">
        <f t="shared" si="18"/>
        <v>9.6418732782369149E-2</v>
      </c>
      <c r="AC186" s="261">
        <f t="shared" si="19"/>
        <v>1.5426997245179064</v>
      </c>
      <c r="AD186" s="282"/>
      <c r="AE186" s="290" t="s">
        <v>863</v>
      </c>
      <c r="AF186" s="291">
        <v>4</v>
      </c>
      <c r="AG186" s="292" t="s">
        <v>1034</v>
      </c>
      <c r="AH186" s="293" t="s">
        <v>993</v>
      </c>
    </row>
    <row r="187" spans="1:38" s="107" customFormat="1">
      <c r="A187" s="242" t="s">
        <v>853</v>
      </c>
      <c r="B187" s="282" t="s">
        <v>400</v>
      </c>
      <c r="C187" s="121" t="s">
        <v>720</v>
      </c>
      <c r="D187" s="490" t="s">
        <v>1094</v>
      </c>
      <c r="E187" s="490" t="s">
        <v>1094</v>
      </c>
      <c r="F187" s="490" t="s">
        <v>883</v>
      </c>
      <c r="G187" s="411" t="s">
        <v>1094</v>
      </c>
      <c r="H187" s="411" t="s">
        <v>1094</v>
      </c>
      <c r="I187" s="490" t="s">
        <v>883</v>
      </c>
      <c r="J187" s="490" t="s">
        <v>883</v>
      </c>
      <c r="K187" s="416">
        <f t="shared" si="16"/>
        <v>7.0312500000000002E-3</v>
      </c>
      <c r="L187" s="490" t="s">
        <v>883</v>
      </c>
      <c r="M187" s="401" t="s">
        <v>1094</v>
      </c>
      <c r="N187" s="490" t="s">
        <v>883</v>
      </c>
      <c r="O187" s="490" t="s">
        <v>883</v>
      </c>
      <c r="P187" s="401" t="s">
        <v>1094</v>
      </c>
      <c r="Q187" s="490" t="s">
        <v>883</v>
      </c>
      <c r="R187" s="401" t="s">
        <v>1094</v>
      </c>
      <c r="S187" s="490" t="s">
        <v>883</v>
      </c>
      <c r="T187" s="490" t="s">
        <v>883</v>
      </c>
      <c r="U187" s="490" t="s">
        <v>883</v>
      </c>
      <c r="V187" s="284">
        <f t="shared" si="23"/>
        <v>23.821875000000002</v>
      </c>
      <c r="W187" s="299"/>
      <c r="X187" s="299"/>
      <c r="Y187" s="287">
        <f t="shared" si="24"/>
        <v>28.125</v>
      </c>
      <c r="Z187" s="287">
        <v>450</v>
      </c>
      <c r="AA187" s="288">
        <v>4000</v>
      </c>
      <c r="AB187" s="261">
        <f t="shared" si="18"/>
        <v>9.1827364554637275E-2</v>
      </c>
      <c r="AC187" s="261">
        <f t="shared" si="19"/>
        <v>1.4692378328741964</v>
      </c>
      <c r="AD187" s="282"/>
      <c r="AE187" s="290" t="s">
        <v>863</v>
      </c>
      <c r="AF187" s="291">
        <v>8</v>
      </c>
      <c r="AG187" s="292" t="s">
        <v>1035</v>
      </c>
      <c r="AH187" s="293" t="s">
        <v>975</v>
      </c>
    </row>
    <row r="188" spans="1:38" s="107" customFormat="1">
      <c r="A188" s="242" t="s">
        <v>853</v>
      </c>
      <c r="B188" s="282" t="s">
        <v>401</v>
      </c>
      <c r="C188" s="108" t="s">
        <v>239</v>
      </c>
      <c r="D188" s="497" t="s">
        <v>1094</v>
      </c>
      <c r="E188" s="497" t="s">
        <v>1094</v>
      </c>
      <c r="F188" s="490" t="s">
        <v>883</v>
      </c>
      <c r="G188" s="411" t="s">
        <v>1094</v>
      </c>
      <c r="H188" s="411" t="s">
        <v>1094</v>
      </c>
      <c r="I188" s="490" t="s">
        <v>883</v>
      </c>
      <c r="J188" s="490" t="s">
        <v>883</v>
      </c>
      <c r="K188" s="416">
        <f t="shared" si="16"/>
        <v>3.9473684210526317E-3</v>
      </c>
      <c r="L188" s="401" t="s">
        <v>1094</v>
      </c>
      <c r="M188" s="401" t="s">
        <v>1094</v>
      </c>
      <c r="N188" s="401" t="s">
        <v>1094</v>
      </c>
      <c r="O188" s="401" t="s">
        <v>1094</v>
      </c>
      <c r="P188" s="401" t="s">
        <v>1094</v>
      </c>
      <c r="Q188" s="401" t="s">
        <v>1094</v>
      </c>
      <c r="R188" s="401" t="s">
        <v>1094</v>
      </c>
      <c r="S188" s="401" t="s">
        <v>1094</v>
      </c>
      <c r="T188" s="401" t="s">
        <v>1094</v>
      </c>
      <c r="U188" s="401" t="s">
        <v>1094</v>
      </c>
      <c r="V188" s="284">
        <f t="shared" si="23"/>
        <v>5.0151315789473685</v>
      </c>
      <c r="W188" s="299"/>
      <c r="X188" s="299"/>
      <c r="Y188" s="287">
        <f t="shared" si="24"/>
        <v>75</v>
      </c>
      <c r="Z188" s="287">
        <v>1200</v>
      </c>
      <c r="AA188" s="288">
        <v>19000</v>
      </c>
      <c r="AB188" s="261">
        <f t="shared" si="18"/>
        <v>0.43617998163452709</v>
      </c>
      <c r="AC188" s="261">
        <f t="shared" si="19"/>
        <v>6.9788797061524335</v>
      </c>
      <c r="AD188" s="282"/>
      <c r="AE188" s="290" t="s">
        <v>525</v>
      </c>
      <c r="AF188" s="291">
        <v>7</v>
      </c>
      <c r="AG188" s="292" t="s">
        <v>1034</v>
      </c>
      <c r="AH188" s="293" t="s">
        <v>946</v>
      </c>
    </row>
    <row r="189" spans="1:38" s="107" customFormat="1">
      <c r="A189" s="242" t="s">
        <v>853</v>
      </c>
      <c r="B189" s="282" t="s">
        <v>402</v>
      </c>
      <c r="C189" s="121" t="s">
        <v>751</v>
      </c>
      <c r="D189" s="490" t="s">
        <v>1094</v>
      </c>
      <c r="E189" s="490" t="s">
        <v>1094</v>
      </c>
      <c r="F189" s="490" t="s">
        <v>883</v>
      </c>
      <c r="G189" s="411" t="s">
        <v>1094</v>
      </c>
      <c r="H189" s="411" t="s">
        <v>1094</v>
      </c>
      <c r="I189" s="490" t="s">
        <v>883</v>
      </c>
      <c r="J189" s="490" t="s">
        <v>1094</v>
      </c>
      <c r="K189" s="416">
        <f t="shared" si="16"/>
        <v>4.0000000000000001E-3</v>
      </c>
      <c r="L189" s="401" t="s">
        <v>1094</v>
      </c>
      <c r="M189" s="401" t="s">
        <v>1094</v>
      </c>
      <c r="N189" s="401" t="s">
        <v>1094</v>
      </c>
      <c r="O189" s="401" t="s">
        <v>1094</v>
      </c>
      <c r="P189" s="401" t="s">
        <v>1094</v>
      </c>
      <c r="Q189" s="401" t="s">
        <v>1094</v>
      </c>
      <c r="R189" s="401" t="s">
        <v>1094</v>
      </c>
      <c r="S189" s="401" t="s">
        <v>1094</v>
      </c>
      <c r="T189" s="401" t="s">
        <v>1094</v>
      </c>
      <c r="U189" s="401" t="s">
        <v>1094</v>
      </c>
      <c r="V189" s="284">
        <f t="shared" si="23"/>
        <v>9.5287500000000005</v>
      </c>
      <c r="W189" s="299"/>
      <c r="X189" s="299"/>
      <c r="Y189" s="287">
        <f t="shared" si="24"/>
        <v>40</v>
      </c>
      <c r="Z189" s="287">
        <v>640</v>
      </c>
      <c r="AA189" s="288">
        <v>10000</v>
      </c>
      <c r="AB189" s="261">
        <f t="shared" si="18"/>
        <v>0.2295684113865932</v>
      </c>
      <c r="AC189" s="261">
        <f t="shared" si="19"/>
        <v>3.6730945821854912</v>
      </c>
      <c r="AD189" s="282"/>
      <c r="AE189" s="290" t="s">
        <v>525</v>
      </c>
      <c r="AF189" s="291">
        <v>3</v>
      </c>
      <c r="AG189" s="292" t="s">
        <v>1034</v>
      </c>
      <c r="AH189" s="293" t="s">
        <v>1236</v>
      </c>
    </row>
    <row r="190" spans="1:38" s="107" customFormat="1">
      <c r="A190" s="242" t="s">
        <v>853</v>
      </c>
      <c r="B190" s="282" t="s">
        <v>403</v>
      </c>
      <c r="C190" s="108" t="s">
        <v>253</v>
      </c>
      <c r="D190" s="499" t="s">
        <v>1094</v>
      </c>
      <c r="E190" s="499" t="s">
        <v>1094</v>
      </c>
      <c r="F190" s="495" t="s">
        <v>1094</v>
      </c>
      <c r="G190" s="411" t="s">
        <v>1094</v>
      </c>
      <c r="H190" s="411" t="s">
        <v>1094</v>
      </c>
      <c r="I190" s="490" t="s">
        <v>883</v>
      </c>
      <c r="J190" s="490" t="s">
        <v>883</v>
      </c>
      <c r="K190" s="416">
        <f t="shared" si="16"/>
        <v>1.8749999999999999E-2</v>
      </c>
      <c r="L190" s="490" t="s">
        <v>883</v>
      </c>
      <c r="M190" s="401" t="s">
        <v>1094</v>
      </c>
      <c r="N190" s="401" t="s">
        <v>1094</v>
      </c>
      <c r="O190" s="490" t="s">
        <v>883</v>
      </c>
      <c r="P190" s="401" t="s">
        <v>1094</v>
      </c>
      <c r="Q190" s="490" t="s">
        <v>883</v>
      </c>
      <c r="R190" s="490" t="s">
        <v>883</v>
      </c>
      <c r="S190" s="490" t="s">
        <v>883</v>
      </c>
      <c r="T190" s="490" t="s">
        <v>883</v>
      </c>
      <c r="U190" s="490" t="s">
        <v>883</v>
      </c>
      <c r="V190" s="284">
        <f t="shared" si="23"/>
        <v>95.287500000000009</v>
      </c>
      <c r="W190" s="299"/>
      <c r="X190" s="299"/>
      <c r="Y190" s="287">
        <f t="shared" si="24"/>
        <v>18.75</v>
      </c>
      <c r="Z190" s="287">
        <v>300</v>
      </c>
      <c r="AA190" s="288">
        <v>1000</v>
      </c>
      <c r="AB190" s="261">
        <f t="shared" si="18"/>
        <v>2.2956841138659319E-2</v>
      </c>
      <c r="AC190" s="261">
        <f t="shared" si="19"/>
        <v>0.3673094582185491</v>
      </c>
      <c r="AD190" s="282"/>
      <c r="AE190" s="290" t="s">
        <v>294</v>
      </c>
      <c r="AF190" s="291"/>
      <c r="AG190" s="292" t="s">
        <v>1034</v>
      </c>
      <c r="AH190" s="293" t="s">
        <v>963</v>
      </c>
    </row>
    <row r="191" spans="1:38" s="107" customFormat="1">
      <c r="A191" s="242" t="s">
        <v>853</v>
      </c>
      <c r="B191" s="282" t="s">
        <v>404</v>
      </c>
      <c r="C191" s="121" t="s">
        <v>659</v>
      </c>
      <c r="D191" s="490" t="s">
        <v>1094</v>
      </c>
      <c r="E191" s="490" t="s">
        <v>1094</v>
      </c>
      <c r="F191" s="490" t="s">
        <v>883</v>
      </c>
      <c r="G191" s="411" t="s">
        <v>1094</v>
      </c>
      <c r="H191" s="411" t="s">
        <v>1094</v>
      </c>
      <c r="I191" s="490" t="s">
        <v>883</v>
      </c>
      <c r="J191" s="490" t="s">
        <v>883</v>
      </c>
      <c r="K191" s="416">
        <f t="shared" si="16"/>
        <v>6.9444444444444447E-4</v>
      </c>
      <c r="L191" s="490" t="s">
        <v>883</v>
      </c>
      <c r="M191" s="490" t="s">
        <v>883</v>
      </c>
      <c r="N191" s="490" t="s">
        <v>883</v>
      </c>
      <c r="O191" s="490" t="s">
        <v>883</v>
      </c>
      <c r="P191" s="417" t="s">
        <v>1094</v>
      </c>
      <c r="Q191" s="417" t="s">
        <v>1094</v>
      </c>
      <c r="R191" s="490" t="s">
        <v>883</v>
      </c>
      <c r="S191" s="490" t="s">
        <v>883</v>
      </c>
      <c r="T191" s="490" t="s">
        <v>883</v>
      </c>
      <c r="U191" s="490" t="s">
        <v>883</v>
      </c>
      <c r="V191" s="284">
        <f t="shared" si="23"/>
        <v>3.5291666666666663</v>
      </c>
      <c r="W191" s="299"/>
      <c r="X191" s="299"/>
      <c r="Y191" s="287">
        <f t="shared" si="24"/>
        <v>18.75</v>
      </c>
      <c r="Z191" s="287">
        <v>300</v>
      </c>
      <c r="AA191" s="288">
        <v>27000</v>
      </c>
      <c r="AB191" s="261">
        <f t="shared" si="18"/>
        <v>0.6198347107438017</v>
      </c>
      <c r="AC191" s="261">
        <f t="shared" si="19"/>
        <v>9.9173553719008272</v>
      </c>
      <c r="AD191" s="282"/>
      <c r="AE191" s="290" t="s">
        <v>525</v>
      </c>
      <c r="AF191" s="291">
        <v>8</v>
      </c>
      <c r="AG191" s="292" t="s">
        <v>1034</v>
      </c>
      <c r="AH191" s="293" t="s">
        <v>946</v>
      </c>
    </row>
    <row r="192" spans="1:38" s="107" customFormat="1">
      <c r="A192" s="242" t="s">
        <v>853</v>
      </c>
      <c r="B192" s="282" t="s">
        <v>405</v>
      </c>
      <c r="C192" s="121" t="s">
        <v>533</v>
      </c>
      <c r="D192" s="490" t="s">
        <v>1094</v>
      </c>
      <c r="E192" s="490" t="s">
        <v>883</v>
      </c>
      <c r="F192" s="490" t="s">
        <v>883</v>
      </c>
      <c r="G192" s="411" t="s">
        <v>1094</v>
      </c>
      <c r="H192" s="411" t="s">
        <v>1094</v>
      </c>
      <c r="I192" s="490" t="s">
        <v>883</v>
      </c>
      <c r="J192" s="490" t="s">
        <v>883</v>
      </c>
      <c r="K192" s="416">
        <f t="shared" si="16"/>
        <v>4.6874999999999998E-3</v>
      </c>
      <c r="L192" s="401" t="s">
        <v>1094</v>
      </c>
      <c r="M192" s="401" t="s">
        <v>1094</v>
      </c>
      <c r="N192" s="401" t="s">
        <v>1094</v>
      </c>
      <c r="O192" s="401" t="s">
        <v>1094</v>
      </c>
      <c r="P192" s="401" t="s">
        <v>1094</v>
      </c>
      <c r="Q192" s="401" t="s">
        <v>1094</v>
      </c>
      <c r="R192" s="401" t="s">
        <v>1094</v>
      </c>
      <c r="S192" s="401" t="s">
        <v>1094</v>
      </c>
      <c r="T192" s="401" t="s">
        <v>1094</v>
      </c>
      <c r="U192" s="401" t="s">
        <v>1094</v>
      </c>
      <c r="V192" s="284">
        <f t="shared" si="23"/>
        <v>23.821875000000002</v>
      </c>
      <c r="W192" s="299"/>
      <c r="X192" s="299"/>
      <c r="Y192" s="287">
        <f t="shared" si="24"/>
        <v>18.75</v>
      </c>
      <c r="Z192" s="287">
        <v>300</v>
      </c>
      <c r="AA192" s="288">
        <v>4000</v>
      </c>
      <c r="AB192" s="261">
        <f t="shared" si="18"/>
        <v>9.1827364554637275E-2</v>
      </c>
      <c r="AC192" s="261">
        <f t="shared" si="19"/>
        <v>1.4692378328741964</v>
      </c>
      <c r="AD192" s="282"/>
      <c r="AE192" s="290" t="s">
        <v>294</v>
      </c>
      <c r="AF192" s="291">
        <v>8</v>
      </c>
      <c r="AG192" s="292" t="s">
        <v>1034</v>
      </c>
      <c r="AH192" s="293" t="s">
        <v>960</v>
      </c>
    </row>
    <row r="193" spans="1:41" s="107" customFormat="1">
      <c r="A193" s="242" t="s">
        <v>853</v>
      </c>
      <c r="B193" s="282" t="s">
        <v>406</v>
      </c>
      <c r="C193" s="121" t="s">
        <v>778</v>
      </c>
      <c r="D193" s="490" t="s">
        <v>1094</v>
      </c>
      <c r="E193" s="490" t="s">
        <v>1094</v>
      </c>
      <c r="F193" s="490" t="s">
        <v>883</v>
      </c>
      <c r="G193" s="411" t="s">
        <v>1094</v>
      </c>
      <c r="H193" s="411" t="s">
        <v>1094</v>
      </c>
      <c r="I193" s="490" t="s">
        <v>883</v>
      </c>
      <c r="J193" s="490" t="s">
        <v>883</v>
      </c>
      <c r="K193" s="416">
        <f t="shared" si="16"/>
        <v>1.6741071428571428E-3</v>
      </c>
      <c r="L193" s="401" t="s">
        <v>1094</v>
      </c>
      <c r="M193" s="401" t="s">
        <v>1094</v>
      </c>
      <c r="N193" s="401" t="s">
        <v>1094</v>
      </c>
      <c r="O193" s="401" t="s">
        <v>1094</v>
      </c>
      <c r="P193" s="401" t="s">
        <v>1094</v>
      </c>
      <c r="Q193" s="401" t="s">
        <v>1094</v>
      </c>
      <c r="R193" s="401" t="s">
        <v>1094</v>
      </c>
      <c r="S193" s="401" t="s">
        <v>1094</v>
      </c>
      <c r="T193" s="401" t="s">
        <v>1094</v>
      </c>
      <c r="U193" s="401" t="s">
        <v>1094</v>
      </c>
      <c r="V193" s="284">
        <f t="shared" si="23"/>
        <v>3.4031250000000002</v>
      </c>
      <c r="W193" s="299"/>
      <c r="X193" s="299"/>
      <c r="Y193" s="287">
        <f t="shared" si="24"/>
        <v>46.875</v>
      </c>
      <c r="Z193" s="287">
        <v>750</v>
      </c>
      <c r="AA193" s="288">
        <v>28000</v>
      </c>
      <c r="AB193" s="261">
        <f t="shared" si="18"/>
        <v>0.64279155188246095</v>
      </c>
      <c r="AC193" s="261">
        <f t="shared" si="19"/>
        <v>10.284664830119375</v>
      </c>
      <c r="AD193" s="282"/>
      <c r="AE193" s="478" t="s">
        <v>11303</v>
      </c>
      <c r="AF193" s="291">
        <v>8</v>
      </c>
      <c r="AG193" s="292" t="s">
        <v>1034</v>
      </c>
      <c r="AH193" s="293" t="s">
        <v>951</v>
      </c>
    </row>
    <row r="194" spans="1:41" s="107" customFormat="1">
      <c r="A194" s="242" t="s">
        <v>853</v>
      </c>
      <c r="B194" s="282" t="s">
        <v>407</v>
      </c>
      <c r="C194" s="121" t="s">
        <v>641</v>
      </c>
      <c r="D194" s="490" t="s">
        <v>1094</v>
      </c>
      <c r="E194" s="490" t="s">
        <v>1094</v>
      </c>
      <c r="F194" s="490" t="s">
        <v>883</v>
      </c>
      <c r="G194" s="411" t="s">
        <v>1094</v>
      </c>
      <c r="H194" s="411" t="s">
        <v>1094</v>
      </c>
      <c r="I194" s="490" t="s">
        <v>883</v>
      </c>
      <c r="J194" s="490" t="s">
        <v>883</v>
      </c>
      <c r="K194" s="416">
        <f t="shared" si="16"/>
        <v>4.2613636363636362E-4</v>
      </c>
      <c r="L194" s="490" t="s">
        <v>883</v>
      </c>
      <c r="M194" s="401" t="s">
        <v>1094</v>
      </c>
      <c r="N194" s="490" t="s">
        <v>883</v>
      </c>
      <c r="O194" s="490" t="s">
        <v>883</v>
      </c>
      <c r="P194" s="490" t="s">
        <v>883</v>
      </c>
      <c r="Q194" s="490" t="s">
        <v>883</v>
      </c>
      <c r="R194" s="401" t="s">
        <v>1094</v>
      </c>
      <c r="S194" s="401" t="s">
        <v>1094</v>
      </c>
      <c r="T194" s="490" t="s">
        <v>883</v>
      </c>
      <c r="U194" s="490" t="s">
        <v>883</v>
      </c>
      <c r="V194" s="284">
        <f t="shared" si="23"/>
        <v>14.4375</v>
      </c>
      <c r="W194" s="299"/>
      <c r="X194" s="299"/>
      <c r="Y194" s="287">
        <f t="shared" si="24"/>
        <v>2.8125</v>
      </c>
      <c r="Z194" s="287">
        <v>45</v>
      </c>
      <c r="AA194" s="288">
        <v>6600</v>
      </c>
      <c r="AB194" s="261">
        <f t="shared" si="18"/>
        <v>0.15151515151515152</v>
      </c>
      <c r="AC194" s="261">
        <f t="shared" si="19"/>
        <v>2.4242424242424243</v>
      </c>
      <c r="AD194" s="282"/>
      <c r="AE194" s="290" t="s">
        <v>294</v>
      </c>
      <c r="AF194" s="291">
        <v>9</v>
      </c>
      <c r="AG194" s="292" t="s">
        <v>1034</v>
      </c>
      <c r="AH194" s="293" t="s">
        <v>1240</v>
      </c>
    </row>
    <row r="195" spans="1:41" s="107" customFormat="1">
      <c r="A195" s="242" t="s">
        <v>853</v>
      </c>
      <c r="B195" s="282" t="s">
        <v>408</v>
      </c>
      <c r="C195" s="106" t="s">
        <v>788</v>
      </c>
      <c r="D195" s="491" t="s">
        <v>883</v>
      </c>
      <c r="E195" s="490" t="s">
        <v>1094</v>
      </c>
      <c r="F195" s="490" t="s">
        <v>883</v>
      </c>
      <c r="G195" s="490" t="s">
        <v>883</v>
      </c>
      <c r="H195" s="411" t="s">
        <v>1094</v>
      </c>
      <c r="I195" s="490" t="s">
        <v>883</v>
      </c>
      <c r="J195" s="411" t="s">
        <v>1094</v>
      </c>
      <c r="K195" s="416">
        <f t="shared" si="16"/>
        <v>5.0403225806451613E-5</v>
      </c>
      <c r="L195" s="490" t="s">
        <v>883</v>
      </c>
      <c r="M195" s="401" t="s">
        <v>1094</v>
      </c>
      <c r="N195" s="401" t="s">
        <v>1094</v>
      </c>
      <c r="O195" s="401" t="s">
        <v>1094</v>
      </c>
      <c r="P195" s="401" t="s">
        <v>1094</v>
      </c>
      <c r="Q195" s="490" t="s">
        <v>883</v>
      </c>
      <c r="R195" s="401" t="s">
        <v>1094</v>
      </c>
      <c r="S195" s="401" t="s">
        <v>1094</v>
      </c>
      <c r="T195" s="490" t="s">
        <v>883</v>
      </c>
      <c r="U195" s="490" t="s">
        <v>883</v>
      </c>
      <c r="V195" s="284">
        <f t="shared" si="23"/>
        <v>1.0245967741935484</v>
      </c>
      <c r="W195" s="299"/>
      <c r="X195" s="299"/>
      <c r="Y195" s="287">
        <f t="shared" si="24"/>
        <v>4.6875</v>
      </c>
      <c r="Z195" s="287">
        <v>75</v>
      </c>
      <c r="AA195" s="288">
        <v>93000</v>
      </c>
      <c r="AB195" s="261">
        <f t="shared" si="18"/>
        <v>2.1349862258953167</v>
      </c>
      <c r="AC195" s="261">
        <f t="shared" si="19"/>
        <v>34.159779614325068</v>
      </c>
      <c r="AD195" s="282"/>
      <c r="AE195" s="290" t="s">
        <v>294</v>
      </c>
      <c r="AF195" s="291">
        <v>5</v>
      </c>
      <c r="AG195" s="292" t="s">
        <v>1034</v>
      </c>
      <c r="AH195" s="293" t="s">
        <v>955</v>
      </c>
    </row>
    <row r="196" spans="1:41" s="107" customFormat="1">
      <c r="A196" s="242" t="s">
        <v>853</v>
      </c>
      <c r="B196" s="297" t="s">
        <v>1263</v>
      </c>
      <c r="C196" s="121" t="s">
        <v>763</v>
      </c>
      <c r="D196" s="490" t="s">
        <v>883</v>
      </c>
      <c r="E196" s="490" t="s">
        <v>883</v>
      </c>
      <c r="F196" s="490" t="s">
        <v>1094</v>
      </c>
      <c r="G196" s="411" t="s">
        <v>1094</v>
      </c>
      <c r="H196" s="411" t="s">
        <v>1094</v>
      </c>
      <c r="I196" s="411" t="s">
        <v>1094</v>
      </c>
      <c r="J196" s="490" t="s">
        <v>1094</v>
      </c>
      <c r="K196" s="416">
        <f t="shared" ref="K196:K259" si="25">Y196/AA196</f>
        <v>1.7045454545454545E-3</v>
      </c>
      <c r="L196" s="401" t="s">
        <v>1094</v>
      </c>
      <c r="M196" s="401" t="s">
        <v>1094</v>
      </c>
      <c r="N196" s="401" t="s">
        <v>1094</v>
      </c>
      <c r="O196" s="401" t="s">
        <v>1094</v>
      </c>
      <c r="P196" s="401" t="s">
        <v>1094</v>
      </c>
      <c r="Q196" s="401" t="s">
        <v>1094</v>
      </c>
      <c r="R196" s="401" t="s">
        <v>1094</v>
      </c>
      <c r="S196" s="401" t="s">
        <v>1094</v>
      </c>
      <c r="T196" s="401" t="s">
        <v>1094</v>
      </c>
      <c r="U196" s="401" t="s">
        <v>1094</v>
      </c>
      <c r="V196" s="284">
        <f t="shared" si="23"/>
        <v>8.6624999999999996</v>
      </c>
      <c r="W196" s="299"/>
      <c r="X196" s="299"/>
      <c r="Y196" s="287">
        <f t="shared" si="24"/>
        <v>18.75</v>
      </c>
      <c r="Z196" s="287">
        <v>300</v>
      </c>
      <c r="AA196" s="288">
        <v>11000</v>
      </c>
      <c r="AB196" s="261">
        <f t="shared" ref="AB196:AB259" si="26">(AA196/43560)</f>
        <v>0.25252525252525254</v>
      </c>
      <c r="AC196" s="261">
        <f t="shared" ref="AC196:AC259" si="27">AB196*16</f>
        <v>4.0404040404040407</v>
      </c>
      <c r="AD196" s="282"/>
      <c r="AE196" s="322" t="s">
        <v>863</v>
      </c>
      <c r="AF196" s="291">
        <v>4</v>
      </c>
      <c r="AG196" s="292" t="s">
        <v>1034</v>
      </c>
      <c r="AH196" s="293" t="s">
        <v>995</v>
      </c>
    </row>
    <row r="197" spans="1:41" s="107" customFormat="1">
      <c r="A197" s="242" t="s">
        <v>853</v>
      </c>
      <c r="B197" s="282" t="s">
        <v>409</v>
      </c>
      <c r="C197" s="106" t="s">
        <v>804</v>
      </c>
      <c r="D197" s="491" t="s">
        <v>1094</v>
      </c>
      <c r="E197" s="491" t="s">
        <v>1094</v>
      </c>
      <c r="F197" s="490" t="s">
        <v>883</v>
      </c>
      <c r="G197" s="411" t="s">
        <v>1094</v>
      </c>
      <c r="H197" s="411" t="s">
        <v>1094</v>
      </c>
      <c r="I197" s="490" t="s">
        <v>883</v>
      </c>
      <c r="J197" s="490" t="s">
        <v>1094</v>
      </c>
      <c r="K197" s="416">
        <f t="shared" si="25"/>
        <v>2.6354166666666668E-2</v>
      </c>
      <c r="L197" s="401" t="s">
        <v>1094</v>
      </c>
      <c r="M197" s="401" t="s">
        <v>1094</v>
      </c>
      <c r="N197" s="401" t="s">
        <v>1094</v>
      </c>
      <c r="O197" s="401" t="s">
        <v>1094</v>
      </c>
      <c r="P197" s="401" t="s">
        <v>1094</v>
      </c>
      <c r="Q197" s="401" t="s">
        <v>1094</v>
      </c>
      <c r="R197" s="401" t="s">
        <v>1094</v>
      </c>
      <c r="S197" s="401" t="s">
        <v>1094</v>
      </c>
      <c r="T197" s="401" t="s">
        <v>1094</v>
      </c>
      <c r="U197" s="401" t="s">
        <v>1094</v>
      </c>
      <c r="V197" s="284">
        <f t="shared" si="23"/>
        <v>21.175000000000001</v>
      </c>
      <c r="W197" s="299"/>
      <c r="X197" s="299"/>
      <c r="Y197" s="287">
        <f t="shared" si="24"/>
        <v>118.59375</v>
      </c>
      <c r="Z197" s="287">
        <v>1897.5</v>
      </c>
      <c r="AA197" s="288">
        <v>4500</v>
      </c>
      <c r="AB197" s="261">
        <f t="shared" si="26"/>
        <v>0.10330578512396695</v>
      </c>
      <c r="AC197" s="261">
        <f t="shared" si="27"/>
        <v>1.6528925619834711</v>
      </c>
      <c r="AD197" s="282"/>
      <c r="AE197" s="290" t="s">
        <v>863</v>
      </c>
      <c r="AF197" s="291">
        <v>7</v>
      </c>
      <c r="AG197" s="292" t="s">
        <v>1034</v>
      </c>
      <c r="AH197" s="293" t="s">
        <v>960</v>
      </c>
    </row>
    <row r="198" spans="1:41" s="107" customFormat="1">
      <c r="A198" s="242" t="s">
        <v>853</v>
      </c>
      <c r="B198" s="282" t="s">
        <v>410</v>
      </c>
      <c r="C198" s="106" t="s">
        <v>611</v>
      </c>
      <c r="D198" s="491" t="s">
        <v>1094</v>
      </c>
      <c r="E198" s="490" t="s">
        <v>1094</v>
      </c>
      <c r="F198" s="490" t="s">
        <v>883</v>
      </c>
      <c r="G198" s="411" t="s">
        <v>1094</v>
      </c>
      <c r="H198" s="490" t="s">
        <v>1094</v>
      </c>
      <c r="I198" s="490" t="s">
        <v>883</v>
      </c>
      <c r="J198" s="490" t="s">
        <v>883</v>
      </c>
      <c r="K198" s="416">
        <f t="shared" si="25"/>
        <v>8.9285714285714281E-3</v>
      </c>
      <c r="L198" s="490" t="s">
        <v>883</v>
      </c>
      <c r="M198" s="401" t="s">
        <v>1094</v>
      </c>
      <c r="N198" s="490" t="s">
        <v>883</v>
      </c>
      <c r="O198" s="490" t="s">
        <v>883</v>
      </c>
      <c r="P198" s="490" t="s">
        <v>883</v>
      </c>
      <c r="Q198" s="401" t="s">
        <v>1094</v>
      </c>
      <c r="R198" s="401" t="s">
        <v>1094</v>
      </c>
      <c r="S198" s="401" t="s">
        <v>1094</v>
      </c>
      <c r="T198" s="401" t="s">
        <v>1094</v>
      </c>
      <c r="U198" s="490" t="s">
        <v>883</v>
      </c>
      <c r="V198" s="284">
        <f t="shared" si="23"/>
        <v>45.375</v>
      </c>
      <c r="W198" s="299"/>
      <c r="X198" s="299"/>
      <c r="Y198" s="287">
        <f t="shared" si="24"/>
        <v>18.75</v>
      </c>
      <c r="Z198" s="287">
        <v>300</v>
      </c>
      <c r="AA198" s="288">
        <v>2100</v>
      </c>
      <c r="AB198" s="261">
        <f t="shared" si="26"/>
        <v>4.8209366391184574E-2</v>
      </c>
      <c r="AC198" s="261">
        <f t="shared" si="27"/>
        <v>0.77134986225895319</v>
      </c>
      <c r="AD198" s="282"/>
      <c r="AE198" s="290" t="s">
        <v>863</v>
      </c>
      <c r="AF198" s="321" t="s">
        <v>615</v>
      </c>
      <c r="AG198" s="292" t="s">
        <v>1034</v>
      </c>
      <c r="AH198" s="293" t="s">
        <v>996</v>
      </c>
    </row>
    <row r="199" spans="1:41" s="107" customFormat="1">
      <c r="A199" s="242" t="s">
        <v>853</v>
      </c>
      <c r="B199" s="282" t="s">
        <v>411</v>
      </c>
      <c r="C199" s="108" t="s">
        <v>236</v>
      </c>
      <c r="D199" s="497" t="s">
        <v>1094</v>
      </c>
      <c r="E199" s="499" t="s">
        <v>1094</v>
      </c>
      <c r="F199" s="490" t="s">
        <v>883</v>
      </c>
      <c r="G199" s="411" t="s">
        <v>1094</v>
      </c>
      <c r="H199" s="411" t="s">
        <v>1094</v>
      </c>
      <c r="I199" s="490" t="s">
        <v>883</v>
      </c>
      <c r="J199" s="490" t="s">
        <v>883</v>
      </c>
      <c r="K199" s="416">
        <f t="shared" si="25"/>
        <v>1.5625E-4</v>
      </c>
      <c r="L199" s="401" t="s">
        <v>1094</v>
      </c>
      <c r="M199" s="401" t="s">
        <v>1094</v>
      </c>
      <c r="N199" s="401" t="s">
        <v>1094</v>
      </c>
      <c r="O199" s="401" t="s">
        <v>1094</v>
      </c>
      <c r="P199" s="401" t="s">
        <v>1094</v>
      </c>
      <c r="Q199" s="401" t="s">
        <v>1094</v>
      </c>
      <c r="R199" s="401" t="s">
        <v>1094</v>
      </c>
      <c r="S199" s="401" t="s">
        <v>1094</v>
      </c>
      <c r="T199" s="401" t="s">
        <v>1094</v>
      </c>
      <c r="U199" s="401" t="s">
        <v>1094</v>
      </c>
      <c r="V199" s="284">
        <f t="shared" si="23"/>
        <v>5.2937500000000002</v>
      </c>
      <c r="W199" s="299"/>
      <c r="X199" s="299"/>
      <c r="Y199" s="287">
        <f t="shared" si="24"/>
        <v>2.8125</v>
      </c>
      <c r="Z199" s="287">
        <v>45</v>
      </c>
      <c r="AA199" s="288">
        <v>18000</v>
      </c>
      <c r="AB199" s="261">
        <f t="shared" si="26"/>
        <v>0.41322314049586778</v>
      </c>
      <c r="AC199" s="261">
        <f t="shared" si="27"/>
        <v>6.6115702479338845</v>
      </c>
      <c r="AD199" s="282"/>
      <c r="AE199" s="290" t="s">
        <v>294</v>
      </c>
      <c r="AF199" s="291">
        <v>8</v>
      </c>
      <c r="AG199" s="298" t="s">
        <v>1037</v>
      </c>
      <c r="AH199" s="293" t="s">
        <v>980</v>
      </c>
    </row>
    <row r="200" spans="1:41" s="107" customFormat="1">
      <c r="A200" s="242" t="s">
        <v>853</v>
      </c>
      <c r="B200" s="281" t="s">
        <v>1294</v>
      </c>
      <c r="C200" s="121" t="s">
        <v>725</v>
      </c>
      <c r="D200" s="494" t="s">
        <v>1094</v>
      </c>
      <c r="E200" s="494" t="s">
        <v>1094</v>
      </c>
      <c r="F200" s="494" t="s">
        <v>1094</v>
      </c>
      <c r="G200" s="411" t="s">
        <v>1094</v>
      </c>
      <c r="H200" s="490" t="s">
        <v>883</v>
      </c>
      <c r="I200" s="490" t="s">
        <v>883</v>
      </c>
      <c r="J200" s="490" t="s">
        <v>883</v>
      </c>
      <c r="K200" s="416">
        <f t="shared" si="25"/>
        <v>2E-3</v>
      </c>
      <c r="L200" s="401" t="s">
        <v>1094</v>
      </c>
      <c r="M200" s="401" t="s">
        <v>1094</v>
      </c>
      <c r="N200" s="401" t="s">
        <v>1094</v>
      </c>
      <c r="O200" s="401" t="s">
        <v>1094</v>
      </c>
      <c r="P200" s="401" t="s">
        <v>1094</v>
      </c>
      <c r="Q200" s="401" t="s">
        <v>1094</v>
      </c>
      <c r="R200" s="401" t="s">
        <v>1094</v>
      </c>
      <c r="S200" s="401" t="s">
        <v>1094</v>
      </c>
      <c r="T200" s="401" t="s">
        <v>1094</v>
      </c>
      <c r="U200" s="401" t="s">
        <v>1094</v>
      </c>
      <c r="V200" s="284">
        <f t="shared" si="23"/>
        <v>4.7643750000000002</v>
      </c>
      <c r="W200" s="279"/>
      <c r="X200" s="279"/>
      <c r="Y200" s="287">
        <f t="shared" si="24"/>
        <v>40</v>
      </c>
      <c r="Z200" s="287">
        <v>640</v>
      </c>
      <c r="AA200" s="288">
        <v>20000</v>
      </c>
      <c r="AB200" s="261">
        <f t="shared" si="26"/>
        <v>0.4591368227731864</v>
      </c>
      <c r="AC200" s="261">
        <f t="shared" si="27"/>
        <v>7.3461891643709825</v>
      </c>
      <c r="AD200" s="297"/>
      <c r="AE200" s="290" t="s">
        <v>294</v>
      </c>
      <c r="AF200" s="291">
        <v>7</v>
      </c>
      <c r="AG200" s="292" t="s">
        <v>1034</v>
      </c>
      <c r="AH200" s="293" t="s">
        <v>975</v>
      </c>
    </row>
    <row r="201" spans="1:41" s="107" customFormat="1">
      <c r="A201" s="242" t="s">
        <v>853</v>
      </c>
      <c r="B201" s="282" t="s">
        <v>412</v>
      </c>
      <c r="C201" s="121" t="s">
        <v>596</v>
      </c>
      <c r="D201" s="490" t="s">
        <v>883</v>
      </c>
      <c r="E201" s="490" t="s">
        <v>1094</v>
      </c>
      <c r="F201" s="490" t="s">
        <v>1094</v>
      </c>
      <c r="G201" s="490" t="s">
        <v>883</v>
      </c>
      <c r="H201" s="490" t="s">
        <v>883</v>
      </c>
      <c r="I201" s="411" t="s">
        <v>1094</v>
      </c>
      <c r="J201" s="411" t="s">
        <v>1094</v>
      </c>
      <c r="K201" s="416">
        <f t="shared" si="25"/>
        <v>1.6000000000000001E-4</v>
      </c>
      <c r="L201" s="401" t="s">
        <v>1094</v>
      </c>
      <c r="M201" s="401" t="s">
        <v>1094</v>
      </c>
      <c r="N201" s="401" t="s">
        <v>1094</v>
      </c>
      <c r="O201" s="401" t="s">
        <v>1094</v>
      </c>
      <c r="P201" s="401" t="s">
        <v>1094</v>
      </c>
      <c r="Q201" s="401" t="s">
        <v>1094</v>
      </c>
      <c r="R201" s="401" t="s">
        <v>1094</v>
      </c>
      <c r="S201" s="401" t="s">
        <v>1094</v>
      </c>
      <c r="T201" s="401" t="s">
        <v>1094</v>
      </c>
      <c r="U201" s="401" t="s">
        <v>1094</v>
      </c>
      <c r="V201" s="284">
        <f t="shared" si="23"/>
        <v>0.38114999999999999</v>
      </c>
      <c r="W201" s="299"/>
      <c r="X201" s="299"/>
      <c r="Y201" s="287">
        <f t="shared" si="24"/>
        <v>40</v>
      </c>
      <c r="Z201" s="287">
        <v>640</v>
      </c>
      <c r="AA201" s="288">
        <v>250000</v>
      </c>
      <c r="AB201" s="261">
        <f t="shared" si="26"/>
        <v>5.7392102846648303</v>
      </c>
      <c r="AC201" s="261">
        <f t="shared" si="27"/>
        <v>91.827364554637285</v>
      </c>
      <c r="AD201" s="282"/>
      <c r="AE201" s="290" t="s">
        <v>294</v>
      </c>
      <c r="AF201" s="291">
        <v>3</v>
      </c>
      <c r="AG201" s="292" t="s">
        <v>1034</v>
      </c>
      <c r="AH201" s="293" t="s">
        <v>959</v>
      </c>
    </row>
    <row r="202" spans="1:41" s="107" customFormat="1">
      <c r="A202" s="242" t="s">
        <v>853</v>
      </c>
      <c r="B202" s="282" t="s">
        <v>413</v>
      </c>
      <c r="C202" s="106" t="s">
        <v>794</v>
      </c>
      <c r="D202" s="490" t="s">
        <v>883</v>
      </c>
      <c r="E202" s="491" t="s">
        <v>883</v>
      </c>
      <c r="F202" s="491" t="s">
        <v>1094</v>
      </c>
      <c r="G202" s="411" t="s">
        <v>1094</v>
      </c>
      <c r="H202" s="411" t="s">
        <v>883</v>
      </c>
      <c r="I202" s="411" t="s">
        <v>1094</v>
      </c>
      <c r="J202" s="490" t="s">
        <v>883</v>
      </c>
      <c r="K202" s="416">
        <f t="shared" si="25"/>
        <v>6.9444444444444447E-4</v>
      </c>
      <c r="L202" s="490" t="s">
        <v>883</v>
      </c>
      <c r="M202" s="401" t="s">
        <v>1094</v>
      </c>
      <c r="N202" s="401" t="s">
        <v>1094</v>
      </c>
      <c r="O202" s="401" t="s">
        <v>1094</v>
      </c>
      <c r="P202" s="401" t="s">
        <v>1094</v>
      </c>
      <c r="Q202" s="490" t="s">
        <v>883</v>
      </c>
      <c r="R202" s="490" t="s">
        <v>883</v>
      </c>
      <c r="S202" s="401" t="s">
        <v>1094</v>
      </c>
      <c r="T202" s="490" t="s">
        <v>883</v>
      </c>
      <c r="U202" s="490" t="s">
        <v>883</v>
      </c>
      <c r="V202" s="284">
        <f t="shared" si="23"/>
        <v>17.645833333333332</v>
      </c>
      <c r="W202" s="299"/>
      <c r="X202" s="299"/>
      <c r="Y202" s="287">
        <f t="shared" si="24"/>
        <v>3.75</v>
      </c>
      <c r="Z202" s="287">
        <v>60</v>
      </c>
      <c r="AA202" s="288">
        <v>5400</v>
      </c>
      <c r="AB202" s="261">
        <f t="shared" si="26"/>
        <v>0.12396694214876033</v>
      </c>
      <c r="AC202" s="261">
        <f t="shared" si="27"/>
        <v>1.9834710743801653</v>
      </c>
      <c r="AD202" s="282"/>
      <c r="AE202" s="290" t="s">
        <v>525</v>
      </c>
      <c r="AF202" s="291">
        <v>5</v>
      </c>
      <c r="AG202" s="292" t="s">
        <v>1034</v>
      </c>
      <c r="AH202" s="293" t="s">
        <v>961</v>
      </c>
    </row>
    <row r="203" spans="1:41" s="107" customFormat="1">
      <c r="A203" s="242" t="s">
        <v>853</v>
      </c>
      <c r="B203" s="282" t="s">
        <v>414</v>
      </c>
      <c r="C203" s="106" t="s">
        <v>606</v>
      </c>
      <c r="D203" s="490" t="s">
        <v>883</v>
      </c>
      <c r="E203" s="491" t="s">
        <v>1094</v>
      </c>
      <c r="F203" s="491" t="s">
        <v>1094</v>
      </c>
      <c r="G203" s="411" t="s">
        <v>1094</v>
      </c>
      <c r="H203" s="411" t="s">
        <v>1094</v>
      </c>
      <c r="I203" s="411" t="s">
        <v>1094</v>
      </c>
      <c r="J203" s="490" t="s">
        <v>883</v>
      </c>
      <c r="K203" s="416">
        <f t="shared" si="25"/>
        <v>8.0000000000000004E-4</v>
      </c>
      <c r="L203" s="401" t="s">
        <v>1094</v>
      </c>
      <c r="M203" s="401" t="s">
        <v>1094</v>
      </c>
      <c r="N203" s="401" t="s">
        <v>1094</v>
      </c>
      <c r="O203" s="401" t="s">
        <v>1094</v>
      </c>
      <c r="P203" s="401" t="s">
        <v>1094</v>
      </c>
      <c r="Q203" s="401" t="s">
        <v>1094</v>
      </c>
      <c r="R203" s="401" t="s">
        <v>1094</v>
      </c>
      <c r="S203" s="401" t="s">
        <v>1094</v>
      </c>
      <c r="T203" s="401" t="s">
        <v>1094</v>
      </c>
      <c r="U203" s="401" t="s">
        <v>1094</v>
      </c>
      <c r="V203" s="284">
        <f t="shared" si="23"/>
        <v>9.5287500000000005</v>
      </c>
      <c r="W203" s="299"/>
      <c r="X203" s="299"/>
      <c r="Y203" s="287">
        <f t="shared" si="24"/>
        <v>8</v>
      </c>
      <c r="Z203" s="287">
        <v>128</v>
      </c>
      <c r="AA203" s="288">
        <v>10000</v>
      </c>
      <c r="AB203" s="261">
        <f t="shared" si="26"/>
        <v>0.2295684113865932</v>
      </c>
      <c r="AC203" s="261">
        <f t="shared" si="27"/>
        <v>3.6730945821854912</v>
      </c>
      <c r="AD203" s="282"/>
      <c r="AE203" s="290" t="s">
        <v>293</v>
      </c>
      <c r="AF203" s="291">
        <v>3</v>
      </c>
      <c r="AG203" s="292" t="s">
        <v>1036</v>
      </c>
      <c r="AH203" s="293" t="s">
        <v>946</v>
      </c>
    </row>
    <row r="204" spans="1:41" s="107" customFormat="1">
      <c r="A204" s="242" t="s">
        <v>853</v>
      </c>
      <c r="B204" s="282" t="s">
        <v>415</v>
      </c>
      <c r="C204" s="121" t="s">
        <v>628</v>
      </c>
      <c r="D204" s="490" t="s">
        <v>1094</v>
      </c>
      <c r="E204" s="490" t="s">
        <v>883</v>
      </c>
      <c r="F204" s="490" t="s">
        <v>883</v>
      </c>
      <c r="G204" s="411" t="s">
        <v>1094</v>
      </c>
      <c r="H204" s="490" t="s">
        <v>1094</v>
      </c>
      <c r="I204" s="490" t="s">
        <v>883</v>
      </c>
      <c r="J204" s="490" t="s">
        <v>1094</v>
      </c>
      <c r="K204" s="416">
        <f t="shared" si="25"/>
        <v>2.0833333333333333E-3</v>
      </c>
      <c r="L204" s="401" t="s">
        <v>1094</v>
      </c>
      <c r="M204" s="401" t="s">
        <v>1094</v>
      </c>
      <c r="N204" s="401" t="s">
        <v>1094</v>
      </c>
      <c r="O204" s="401" t="s">
        <v>1094</v>
      </c>
      <c r="P204" s="401" t="s">
        <v>1094</v>
      </c>
      <c r="Q204" s="401" t="s">
        <v>1094</v>
      </c>
      <c r="R204" s="401" t="s">
        <v>1094</v>
      </c>
      <c r="S204" s="401" t="s">
        <v>1094</v>
      </c>
      <c r="T204" s="401" t="s">
        <v>1094</v>
      </c>
      <c r="U204" s="401" t="s">
        <v>1094</v>
      </c>
      <c r="V204" s="284">
        <f t="shared" si="23"/>
        <v>21.175000000000001</v>
      </c>
      <c r="W204" s="299"/>
      <c r="X204" s="299"/>
      <c r="Y204" s="287">
        <f t="shared" si="24"/>
        <v>9.375</v>
      </c>
      <c r="Z204" s="287">
        <v>150</v>
      </c>
      <c r="AA204" s="288">
        <v>4500</v>
      </c>
      <c r="AB204" s="261">
        <f t="shared" si="26"/>
        <v>0.10330578512396695</v>
      </c>
      <c r="AC204" s="261">
        <f t="shared" si="27"/>
        <v>1.6528925619834711</v>
      </c>
      <c r="AD204" s="282"/>
      <c r="AE204" s="290" t="s">
        <v>294</v>
      </c>
      <c r="AF204" s="291">
        <v>6</v>
      </c>
      <c r="AG204" s="298" t="s">
        <v>1040</v>
      </c>
      <c r="AH204" s="293" t="s">
        <v>980</v>
      </c>
      <c r="AI204" s="209"/>
      <c r="AJ204" s="209"/>
      <c r="AK204" s="209"/>
      <c r="AL204" s="209"/>
      <c r="AM204" s="209"/>
      <c r="AN204" s="209"/>
      <c r="AO204" s="209"/>
    </row>
    <row r="205" spans="1:41" s="107" customFormat="1">
      <c r="A205" s="242" t="s">
        <v>853</v>
      </c>
      <c r="B205" s="282" t="s">
        <v>416</v>
      </c>
      <c r="C205" s="121" t="s">
        <v>645</v>
      </c>
      <c r="D205" s="490" t="s">
        <v>883</v>
      </c>
      <c r="E205" s="490" t="s">
        <v>1094</v>
      </c>
      <c r="F205" s="490" t="s">
        <v>883</v>
      </c>
      <c r="G205" s="411" t="s">
        <v>1094</v>
      </c>
      <c r="H205" s="490" t="s">
        <v>1094</v>
      </c>
      <c r="I205" s="490" t="s">
        <v>883</v>
      </c>
      <c r="J205" s="490" t="s">
        <v>883</v>
      </c>
      <c r="K205" s="416">
        <f t="shared" si="25"/>
        <v>8.0000000000000004E-4</v>
      </c>
      <c r="L205" s="401" t="s">
        <v>1094</v>
      </c>
      <c r="M205" s="401" t="s">
        <v>1094</v>
      </c>
      <c r="N205" s="401" t="s">
        <v>1094</v>
      </c>
      <c r="O205" s="401" t="s">
        <v>1094</v>
      </c>
      <c r="P205" s="401" t="s">
        <v>1094</v>
      </c>
      <c r="Q205" s="401" t="s">
        <v>1094</v>
      </c>
      <c r="R205" s="401" t="s">
        <v>1094</v>
      </c>
      <c r="S205" s="401" t="s">
        <v>1094</v>
      </c>
      <c r="T205" s="401" t="s">
        <v>1094</v>
      </c>
      <c r="U205" s="401" t="s">
        <v>1094</v>
      </c>
      <c r="V205" s="284">
        <f t="shared" si="23"/>
        <v>12.705</v>
      </c>
      <c r="W205" s="299"/>
      <c r="X205" s="299"/>
      <c r="Y205" s="287">
        <v>6</v>
      </c>
      <c r="Z205" s="287">
        <v>90</v>
      </c>
      <c r="AA205" s="288">
        <v>7500</v>
      </c>
      <c r="AB205" s="261">
        <f t="shared" si="26"/>
        <v>0.17217630853994489</v>
      </c>
      <c r="AC205" s="261">
        <f t="shared" si="27"/>
        <v>2.7548209366391183</v>
      </c>
      <c r="AD205" s="282"/>
      <c r="AE205" s="290" t="s">
        <v>294</v>
      </c>
      <c r="AF205" s="291">
        <v>8</v>
      </c>
      <c r="AG205" s="292" t="s">
        <v>1034</v>
      </c>
      <c r="AH205" s="293" t="s">
        <v>946</v>
      </c>
    </row>
    <row r="206" spans="1:41" s="107" customFormat="1">
      <c r="A206" s="242" t="s">
        <v>853</v>
      </c>
      <c r="B206" s="297" t="s">
        <v>1264</v>
      </c>
      <c r="C206" s="121" t="s">
        <v>723</v>
      </c>
      <c r="D206" s="495" t="s">
        <v>1094</v>
      </c>
      <c r="E206" s="490" t="s">
        <v>1094</v>
      </c>
      <c r="F206" s="490" t="s">
        <v>883</v>
      </c>
      <c r="G206" s="490" t="s">
        <v>1094</v>
      </c>
      <c r="H206" s="411" t="s">
        <v>1094</v>
      </c>
      <c r="I206" s="490" t="s">
        <v>883</v>
      </c>
      <c r="J206" s="411" t="s">
        <v>1094</v>
      </c>
      <c r="K206" s="416">
        <f t="shared" si="25"/>
        <v>2.2222222222222222E-3</v>
      </c>
      <c r="L206" s="490" t="s">
        <v>883</v>
      </c>
      <c r="M206" s="401" t="s">
        <v>1094</v>
      </c>
      <c r="N206" s="401" t="s">
        <v>1094</v>
      </c>
      <c r="O206" s="401" t="s">
        <v>1094</v>
      </c>
      <c r="P206" s="401" t="s">
        <v>1094</v>
      </c>
      <c r="Q206" s="490" t="s">
        <v>883</v>
      </c>
      <c r="R206" s="401" t="s">
        <v>1094</v>
      </c>
      <c r="S206" s="401" t="s">
        <v>1094</v>
      </c>
      <c r="T206" s="401" t="s">
        <v>1094</v>
      </c>
      <c r="U206" s="401" t="s">
        <v>1094</v>
      </c>
      <c r="V206" s="284">
        <f t="shared" si="23"/>
        <v>5.2937500000000002</v>
      </c>
      <c r="W206" s="299"/>
      <c r="X206" s="299"/>
      <c r="Y206" s="287">
        <f>SUM(Z206/16)</f>
        <v>40</v>
      </c>
      <c r="Z206" s="287">
        <v>640</v>
      </c>
      <c r="AA206" s="288">
        <v>18000</v>
      </c>
      <c r="AB206" s="261">
        <f t="shared" si="26"/>
        <v>0.41322314049586778</v>
      </c>
      <c r="AC206" s="261">
        <f t="shared" si="27"/>
        <v>6.6115702479338845</v>
      </c>
      <c r="AD206" s="282"/>
      <c r="AE206" s="290" t="s">
        <v>294</v>
      </c>
      <c r="AF206" s="291">
        <v>7</v>
      </c>
      <c r="AG206" s="292" t="s">
        <v>1034</v>
      </c>
      <c r="AH206" s="293" t="s">
        <v>946</v>
      </c>
    </row>
    <row r="207" spans="1:41" s="107" customFormat="1">
      <c r="A207" s="242" t="s">
        <v>853</v>
      </c>
      <c r="B207" s="282" t="s">
        <v>417</v>
      </c>
      <c r="C207" s="108" t="s">
        <v>823</v>
      </c>
      <c r="D207" s="497" t="s">
        <v>883</v>
      </c>
      <c r="E207" s="490" t="s">
        <v>1094</v>
      </c>
      <c r="F207" s="490" t="s">
        <v>883</v>
      </c>
      <c r="G207" s="490" t="s">
        <v>883</v>
      </c>
      <c r="H207" s="490" t="s">
        <v>1094</v>
      </c>
      <c r="I207" s="490" t="s">
        <v>883</v>
      </c>
      <c r="J207" s="411" t="s">
        <v>1094</v>
      </c>
      <c r="K207" s="416">
        <f t="shared" si="25"/>
        <v>1.7977528089887642E-2</v>
      </c>
      <c r="L207" s="401" t="s">
        <v>1094</v>
      </c>
      <c r="M207" s="401" t="s">
        <v>1094</v>
      </c>
      <c r="N207" s="401" t="s">
        <v>1094</v>
      </c>
      <c r="O207" s="401" t="s">
        <v>1094</v>
      </c>
      <c r="P207" s="401" t="s">
        <v>1094</v>
      </c>
      <c r="Q207" s="401" t="s">
        <v>1094</v>
      </c>
      <c r="R207" s="401" t="s">
        <v>1094</v>
      </c>
      <c r="S207" s="401" t="s">
        <v>1094</v>
      </c>
      <c r="T207" s="401" t="s">
        <v>1094</v>
      </c>
      <c r="U207" s="401" t="s">
        <v>1094</v>
      </c>
      <c r="V207" s="284">
        <f t="shared" si="23"/>
        <v>21.412921348314608</v>
      </c>
      <c r="W207" s="299"/>
      <c r="X207" s="299"/>
      <c r="Y207" s="287">
        <f>SUM(Z207/16)</f>
        <v>80</v>
      </c>
      <c r="Z207" s="287">
        <v>1280</v>
      </c>
      <c r="AA207" s="288">
        <v>4450</v>
      </c>
      <c r="AB207" s="261">
        <f t="shared" si="26"/>
        <v>0.10215794306703398</v>
      </c>
      <c r="AC207" s="261">
        <f t="shared" si="27"/>
        <v>1.6345270890725436</v>
      </c>
      <c r="AD207" s="282"/>
      <c r="AE207" s="290" t="s">
        <v>290</v>
      </c>
      <c r="AF207" s="291">
        <v>7</v>
      </c>
      <c r="AG207" s="292" t="s">
        <v>1034</v>
      </c>
      <c r="AH207" s="293" t="s">
        <v>961</v>
      </c>
    </row>
    <row r="208" spans="1:41" s="107" customFormat="1">
      <c r="A208" s="242" t="s">
        <v>853</v>
      </c>
      <c r="B208" s="282" t="s">
        <v>418</v>
      </c>
      <c r="C208" s="106" t="s">
        <v>796</v>
      </c>
      <c r="D208" s="490" t="s">
        <v>1094</v>
      </c>
      <c r="E208" s="491" t="s">
        <v>1094</v>
      </c>
      <c r="F208" s="490" t="s">
        <v>883</v>
      </c>
      <c r="G208" s="411" t="s">
        <v>883</v>
      </c>
      <c r="H208" s="411" t="s">
        <v>1094</v>
      </c>
      <c r="I208" s="490" t="s">
        <v>883</v>
      </c>
      <c r="J208" s="411" t="s">
        <v>1094</v>
      </c>
      <c r="K208" s="416">
        <f t="shared" si="25"/>
        <v>1.2335526315789473E-3</v>
      </c>
      <c r="L208" s="401" t="s">
        <v>1094</v>
      </c>
      <c r="M208" s="401" t="s">
        <v>1094</v>
      </c>
      <c r="N208" s="401" t="s">
        <v>1094</v>
      </c>
      <c r="O208" s="401" t="s">
        <v>1094</v>
      </c>
      <c r="P208" s="401" t="s">
        <v>1094</v>
      </c>
      <c r="Q208" s="401" t="s">
        <v>1094</v>
      </c>
      <c r="R208" s="401" t="s">
        <v>1094</v>
      </c>
      <c r="S208" s="401" t="s">
        <v>1094</v>
      </c>
      <c r="T208" s="401" t="s">
        <v>1094</v>
      </c>
      <c r="U208" s="401" t="s">
        <v>1094</v>
      </c>
      <c r="V208" s="284">
        <f t="shared" si="23"/>
        <v>2.5075657894736842</v>
      </c>
      <c r="W208" s="299"/>
      <c r="X208" s="299"/>
      <c r="Y208" s="287">
        <f>SUM(Z208/16)</f>
        <v>46.875</v>
      </c>
      <c r="Z208" s="287">
        <v>750</v>
      </c>
      <c r="AA208" s="288">
        <v>38000</v>
      </c>
      <c r="AB208" s="261">
        <f t="shared" si="26"/>
        <v>0.87235996326905418</v>
      </c>
      <c r="AC208" s="261">
        <f t="shared" si="27"/>
        <v>13.957759412304867</v>
      </c>
      <c r="AD208" s="282"/>
      <c r="AE208" s="290" t="s">
        <v>525</v>
      </c>
      <c r="AF208" s="291">
        <v>6</v>
      </c>
      <c r="AG208" s="292" t="s">
        <v>1034</v>
      </c>
      <c r="AH208" s="293" t="s">
        <v>946</v>
      </c>
    </row>
    <row r="209" spans="1:41" s="107" customFormat="1">
      <c r="A209" s="242" t="s">
        <v>853</v>
      </c>
      <c r="B209" s="282" t="s">
        <v>507</v>
      </c>
      <c r="C209" s="108" t="s">
        <v>254</v>
      </c>
      <c r="D209" s="490" t="s">
        <v>883</v>
      </c>
      <c r="E209" s="497" t="s">
        <v>883</v>
      </c>
      <c r="F209" s="497" t="s">
        <v>1094</v>
      </c>
      <c r="G209" s="411" t="s">
        <v>1094</v>
      </c>
      <c r="H209" s="490" t="s">
        <v>883</v>
      </c>
      <c r="I209" s="411" t="s">
        <v>1094</v>
      </c>
      <c r="J209" s="490" t="s">
        <v>883</v>
      </c>
      <c r="K209" s="416">
        <f t="shared" si="25"/>
        <v>1.0752688172043011E-4</v>
      </c>
      <c r="L209" s="490" t="s">
        <v>883</v>
      </c>
      <c r="M209" s="401" t="s">
        <v>1094</v>
      </c>
      <c r="N209" s="490" t="s">
        <v>883</v>
      </c>
      <c r="O209" s="401" t="s">
        <v>1094</v>
      </c>
      <c r="P209" s="401" t="s">
        <v>1094</v>
      </c>
      <c r="Q209" s="490" t="s">
        <v>883</v>
      </c>
      <c r="R209" s="490" t="s">
        <v>883</v>
      </c>
      <c r="S209" s="401" t="s">
        <v>1094</v>
      </c>
      <c r="T209" s="490" t="s">
        <v>883</v>
      </c>
      <c r="U209" s="490" t="s">
        <v>883</v>
      </c>
      <c r="V209" s="284">
        <f t="shared" si="23"/>
        <v>1.0245967741935484</v>
      </c>
      <c r="W209" s="299"/>
      <c r="X209" s="299"/>
      <c r="Y209" s="287">
        <v>10</v>
      </c>
      <c r="Z209" s="287">
        <v>150</v>
      </c>
      <c r="AA209" s="288">
        <v>93000</v>
      </c>
      <c r="AB209" s="261">
        <f t="shared" si="26"/>
        <v>2.1349862258953167</v>
      </c>
      <c r="AC209" s="261">
        <f t="shared" si="27"/>
        <v>34.159779614325068</v>
      </c>
      <c r="AD209" s="282"/>
      <c r="AE209" s="290" t="s">
        <v>294</v>
      </c>
      <c r="AF209" s="291">
        <v>8</v>
      </c>
      <c r="AG209" s="292" t="s">
        <v>1034</v>
      </c>
      <c r="AH209" s="293" t="s">
        <v>1236</v>
      </c>
    </row>
    <row r="210" spans="1:41" s="107" customFormat="1">
      <c r="A210" s="242" t="s">
        <v>853</v>
      </c>
      <c r="B210" s="282" t="s">
        <v>508</v>
      </c>
      <c r="C210" s="121" t="s">
        <v>644</v>
      </c>
      <c r="D210" s="490" t="s">
        <v>883</v>
      </c>
      <c r="E210" s="490" t="s">
        <v>1094</v>
      </c>
      <c r="F210" s="490" t="s">
        <v>883</v>
      </c>
      <c r="G210" s="490" t="s">
        <v>883</v>
      </c>
      <c r="H210" s="411" t="s">
        <v>1094</v>
      </c>
      <c r="I210" s="490" t="s">
        <v>883</v>
      </c>
      <c r="J210" s="411" t="s">
        <v>1094</v>
      </c>
      <c r="K210" s="416">
        <f t="shared" si="25"/>
        <v>3.8095238095238096E-4</v>
      </c>
      <c r="L210" s="490" t="s">
        <v>883</v>
      </c>
      <c r="M210" s="490" t="s">
        <v>883</v>
      </c>
      <c r="N210" s="490" t="s">
        <v>883</v>
      </c>
      <c r="O210" s="490" t="s">
        <v>883</v>
      </c>
      <c r="P210" s="401" t="s">
        <v>1094</v>
      </c>
      <c r="Q210" s="490" t="s">
        <v>883</v>
      </c>
      <c r="R210" s="490" t="s">
        <v>883</v>
      </c>
      <c r="S210" s="490" t="s">
        <v>883</v>
      </c>
      <c r="T210" s="490" t="s">
        <v>883</v>
      </c>
      <c r="U210" s="490" t="s">
        <v>883</v>
      </c>
      <c r="V210" s="284">
        <f t="shared" si="23"/>
        <v>0.30249999999999999</v>
      </c>
      <c r="W210" s="299"/>
      <c r="X210" s="299"/>
      <c r="Y210" s="287">
        <f>SUM(Z210/16)</f>
        <v>120</v>
      </c>
      <c r="Z210" s="287">
        <v>1920</v>
      </c>
      <c r="AA210" s="288">
        <v>315000</v>
      </c>
      <c r="AB210" s="261">
        <f t="shared" si="26"/>
        <v>7.2314049586776861</v>
      </c>
      <c r="AC210" s="261">
        <f t="shared" si="27"/>
        <v>115.70247933884298</v>
      </c>
      <c r="AD210" s="282"/>
      <c r="AE210" s="290" t="s">
        <v>525</v>
      </c>
      <c r="AF210" s="291">
        <v>9</v>
      </c>
      <c r="AG210" s="292" t="s">
        <v>1034</v>
      </c>
      <c r="AH210" s="293" t="s">
        <v>1236</v>
      </c>
      <c r="AI210" s="209"/>
      <c r="AJ210" s="209"/>
      <c r="AK210" s="209"/>
      <c r="AL210" s="209"/>
      <c r="AM210" s="209"/>
      <c r="AN210" s="209"/>
      <c r="AO210" s="209"/>
    </row>
    <row r="211" spans="1:41" s="107" customFormat="1">
      <c r="A211" s="242" t="s">
        <v>853</v>
      </c>
      <c r="B211" s="282" t="s">
        <v>419</v>
      </c>
      <c r="C211" s="121" t="s">
        <v>700</v>
      </c>
      <c r="D211" s="490" t="s">
        <v>1094</v>
      </c>
      <c r="E211" s="490" t="s">
        <v>883</v>
      </c>
      <c r="F211" s="490" t="s">
        <v>883</v>
      </c>
      <c r="G211" s="411" t="s">
        <v>1094</v>
      </c>
      <c r="H211" s="411" t="s">
        <v>1094</v>
      </c>
      <c r="I211" s="490" t="s">
        <v>883</v>
      </c>
      <c r="J211" s="490" t="s">
        <v>883</v>
      </c>
      <c r="K211" s="416">
        <f t="shared" si="25"/>
        <v>6.6666666666666671E-3</v>
      </c>
      <c r="L211" s="490" t="s">
        <v>883</v>
      </c>
      <c r="M211" s="401" t="s">
        <v>1094</v>
      </c>
      <c r="N211" s="401" t="s">
        <v>1094</v>
      </c>
      <c r="O211" s="490" t="s">
        <v>883</v>
      </c>
      <c r="P211" s="401" t="s">
        <v>1094</v>
      </c>
      <c r="Q211" s="490" t="s">
        <v>883</v>
      </c>
      <c r="R211" s="490" t="s">
        <v>883</v>
      </c>
      <c r="S211" s="490" t="s">
        <v>883</v>
      </c>
      <c r="T211" s="490" t="s">
        <v>883</v>
      </c>
      <c r="U211" s="490" t="s">
        <v>883</v>
      </c>
      <c r="V211" s="284">
        <f t="shared" si="23"/>
        <v>6.3525</v>
      </c>
      <c r="W211" s="299"/>
      <c r="X211" s="299"/>
      <c r="Y211" s="287">
        <f>SUM(Z211/16)</f>
        <v>100</v>
      </c>
      <c r="Z211" s="287">
        <v>1600</v>
      </c>
      <c r="AA211" s="288">
        <v>15000</v>
      </c>
      <c r="AB211" s="261">
        <f t="shared" si="26"/>
        <v>0.34435261707988979</v>
      </c>
      <c r="AC211" s="261">
        <f t="shared" si="27"/>
        <v>5.5096418732782366</v>
      </c>
      <c r="AD211" s="282"/>
      <c r="AE211" s="290" t="s">
        <v>525</v>
      </c>
      <c r="AF211" s="291">
        <v>10</v>
      </c>
      <c r="AG211" s="292" t="s">
        <v>1036</v>
      </c>
      <c r="AH211" s="293" t="s">
        <v>1236</v>
      </c>
    </row>
    <row r="212" spans="1:41" s="107" customFormat="1">
      <c r="A212" s="242" t="s">
        <v>853</v>
      </c>
      <c r="B212" s="282" t="s">
        <v>1265</v>
      </c>
      <c r="C212" s="121" t="s">
        <v>682</v>
      </c>
      <c r="D212" s="494" t="s">
        <v>883</v>
      </c>
      <c r="E212" s="490" t="s">
        <v>1094</v>
      </c>
      <c r="F212" s="490" t="s">
        <v>1094</v>
      </c>
      <c r="G212" s="411" t="s">
        <v>1094</v>
      </c>
      <c r="H212" s="411" t="s">
        <v>1094</v>
      </c>
      <c r="I212" s="490" t="s">
        <v>883</v>
      </c>
      <c r="J212" s="490" t="s">
        <v>883</v>
      </c>
      <c r="K212" s="416">
        <f t="shared" si="25"/>
        <v>5.6249999999999998E-3</v>
      </c>
      <c r="L212" s="490" t="s">
        <v>883</v>
      </c>
      <c r="M212" s="401" t="s">
        <v>1094</v>
      </c>
      <c r="N212" s="490" t="s">
        <v>883</v>
      </c>
      <c r="O212" s="401" t="s">
        <v>1094</v>
      </c>
      <c r="P212" s="401" t="s">
        <v>1094</v>
      </c>
      <c r="Q212" s="490" t="s">
        <v>883</v>
      </c>
      <c r="R212" s="490" t="s">
        <v>883</v>
      </c>
      <c r="S212" s="490" t="s">
        <v>883</v>
      </c>
      <c r="T212" s="490" t="s">
        <v>883</v>
      </c>
      <c r="U212" s="490" t="s">
        <v>883</v>
      </c>
      <c r="V212" s="284">
        <f t="shared" si="23"/>
        <v>9.5287500000000005</v>
      </c>
      <c r="W212" s="285"/>
      <c r="X212" s="286"/>
      <c r="Y212" s="287">
        <f>SUM(Z212/16)</f>
        <v>56.25</v>
      </c>
      <c r="Z212" s="287">
        <v>900</v>
      </c>
      <c r="AA212" s="288">
        <v>10000</v>
      </c>
      <c r="AB212" s="261">
        <f t="shared" si="26"/>
        <v>0.2295684113865932</v>
      </c>
      <c r="AC212" s="261">
        <f t="shared" si="27"/>
        <v>3.6730945821854912</v>
      </c>
      <c r="AD212" s="289"/>
      <c r="AE212" s="290" t="s">
        <v>294</v>
      </c>
      <c r="AF212" s="291">
        <v>6</v>
      </c>
      <c r="AG212" s="292" t="s">
        <v>1034</v>
      </c>
      <c r="AH212" s="293" t="s">
        <v>946</v>
      </c>
    </row>
    <row r="213" spans="1:41" s="107" customFormat="1">
      <c r="A213" s="242" t="s">
        <v>853</v>
      </c>
      <c r="B213" s="282" t="s">
        <v>273</v>
      </c>
      <c r="C213" s="108" t="s">
        <v>250</v>
      </c>
      <c r="D213" s="497" t="s">
        <v>1094</v>
      </c>
      <c r="E213" s="490" t="s">
        <v>1094</v>
      </c>
      <c r="F213" s="490" t="s">
        <v>883</v>
      </c>
      <c r="G213" s="411" t="s">
        <v>1094</v>
      </c>
      <c r="H213" s="490" t="s">
        <v>1094</v>
      </c>
      <c r="I213" s="490" t="s">
        <v>883</v>
      </c>
      <c r="J213" s="490" t="s">
        <v>883</v>
      </c>
      <c r="K213" s="416">
        <f t="shared" si="25"/>
        <v>3.1250000000000001E-4</v>
      </c>
      <c r="L213" s="490" t="s">
        <v>883</v>
      </c>
      <c r="M213" s="401" t="s">
        <v>1094</v>
      </c>
      <c r="N213" s="401" t="s">
        <v>1094</v>
      </c>
      <c r="O213" s="490" t="s">
        <v>883</v>
      </c>
      <c r="P213" s="401" t="s">
        <v>1094</v>
      </c>
      <c r="Q213" s="490" t="s">
        <v>883</v>
      </c>
      <c r="R213" s="401" t="s">
        <v>1094</v>
      </c>
      <c r="S213" s="401" t="s">
        <v>1094</v>
      </c>
      <c r="T213" s="401" t="s">
        <v>1094</v>
      </c>
      <c r="U213" s="401" t="s">
        <v>1094</v>
      </c>
      <c r="V213" s="284">
        <f t="shared" ref="V213:V244" si="28">35/AC213</f>
        <v>3.17625</v>
      </c>
      <c r="W213" s="299"/>
      <c r="X213" s="299"/>
      <c r="Y213" s="287">
        <f>SUM(Z213/16)</f>
        <v>9.375</v>
      </c>
      <c r="Z213" s="287">
        <v>150</v>
      </c>
      <c r="AA213" s="288">
        <v>30000</v>
      </c>
      <c r="AB213" s="261">
        <f t="shared" si="26"/>
        <v>0.68870523415977958</v>
      </c>
      <c r="AC213" s="261">
        <f t="shared" si="27"/>
        <v>11.019283746556473</v>
      </c>
      <c r="AD213" s="282"/>
      <c r="AE213" s="290" t="s">
        <v>294</v>
      </c>
      <c r="AF213" s="291">
        <v>4</v>
      </c>
      <c r="AG213" s="292" t="s">
        <v>1034</v>
      </c>
      <c r="AH213" s="293" t="s">
        <v>946</v>
      </c>
    </row>
    <row r="214" spans="1:41" s="107" customFormat="1">
      <c r="A214" s="529" t="s">
        <v>853</v>
      </c>
      <c r="B214" s="530" t="s">
        <v>11231</v>
      </c>
      <c r="C214" s="552" t="s">
        <v>6343</v>
      </c>
      <c r="D214" s="547" t="s">
        <v>883</v>
      </c>
      <c r="E214" s="547" t="s">
        <v>883</v>
      </c>
      <c r="F214" s="547" t="s">
        <v>883</v>
      </c>
      <c r="G214" s="548" t="s">
        <v>883</v>
      </c>
      <c r="H214" s="547" t="s">
        <v>883</v>
      </c>
      <c r="I214" s="547" t="s">
        <v>883</v>
      </c>
      <c r="J214" s="547" t="s">
        <v>883</v>
      </c>
      <c r="K214" s="533">
        <f t="shared" si="25"/>
        <v>1E-3</v>
      </c>
      <c r="L214" s="547" t="s">
        <v>883</v>
      </c>
      <c r="M214" s="533" t="s">
        <v>883</v>
      </c>
      <c r="N214" s="533" t="s">
        <v>1094</v>
      </c>
      <c r="O214" s="547" t="s">
        <v>1094</v>
      </c>
      <c r="P214" s="547" t="s">
        <v>1094</v>
      </c>
      <c r="Q214" s="547" t="s">
        <v>1094</v>
      </c>
      <c r="R214" s="533" t="s">
        <v>883</v>
      </c>
      <c r="S214" s="533" t="s">
        <v>1094</v>
      </c>
      <c r="T214" s="547" t="s">
        <v>1094</v>
      </c>
      <c r="U214" s="547" t="s">
        <v>1094</v>
      </c>
      <c r="V214" s="284">
        <f t="shared" si="28"/>
        <v>6.3525</v>
      </c>
      <c r="W214" s="549"/>
      <c r="X214" s="549"/>
      <c r="Y214" s="537">
        <v>15</v>
      </c>
      <c r="Z214" s="537">
        <v>240</v>
      </c>
      <c r="AA214" s="538">
        <v>15000</v>
      </c>
      <c r="AB214" s="261">
        <f t="shared" si="26"/>
        <v>0.34435261707988979</v>
      </c>
      <c r="AC214" s="261">
        <f t="shared" si="27"/>
        <v>5.5096418732782366</v>
      </c>
      <c r="AD214" s="530"/>
      <c r="AE214" s="540" t="s">
        <v>863</v>
      </c>
      <c r="AF214" s="541">
        <v>4</v>
      </c>
      <c r="AG214" s="542" t="s">
        <v>1034</v>
      </c>
      <c r="AH214" s="543"/>
      <c r="AI214" s="219"/>
      <c r="AK214" s="219"/>
      <c r="AM214" s="219"/>
      <c r="AN214" s="219"/>
      <c r="AO214" s="219"/>
    </row>
    <row r="215" spans="1:41" s="107" customFormat="1">
      <c r="A215" s="242" t="s">
        <v>853</v>
      </c>
      <c r="B215" s="282" t="s">
        <v>420</v>
      </c>
      <c r="C215" s="121" t="s">
        <v>724</v>
      </c>
      <c r="D215" s="495" t="s">
        <v>1094</v>
      </c>
      <c r="E215" s="494" t="s">
        <v>1094</v>
      </c>
      <c r="F215" s="490" t="s">
        <v>883</v>
      </c>
      <c r="G215" s="411" t="s">
        <v>1094</v>
      </c>
      <c r="H215" s="490" t="s">
        <v>1094</v>
      </c>
      <c r="I215" s="490" t="s">
        <v>883</v>
      </c>
      <c r="J215" s="490" t="s">
        <v>883</v>
      </c>
      <c r="K215" s="416">
        <f t="shared" si="25"/>
        <v>5.7142857142857143E-3</v>
      </c>
      <c r="L215" s="490" t="s">
        <v>883</v>
      </c>
      <c r="M215" s="401" t="s">
        <v>1094</v>
      </c>
      <c r="N215" s="490" t="s">
        <v>883</v>
      </c>
      <c r="O215" s="490" t="s">
        <v>883</v>
      </c>
      <c r="P215" s="490" t="s">
        <v>883</v>
      </c>
      <c r="Q215" s="401" t="s">
        <v>1094</v>
      </c>
      <c r="R215" s="490" t="s">
        <v>883</v>
      </c>
      <c r="S215" s="490" t="s">
        <v>883</v>
      </c>
      <c r="T215" s="401" t="s">
        <v>1094</v>
      </c>
      <c r="U215" s="401" t="s">
        <v>1094</v>
      </c>
      <c r="V215" s="284">
        <f t="shared" si="28"/>
        <v>6.8062500000000004</v>
      </c>
      <c r="W215" s="299"/>
      <c r="X215" s="299"/>
      <c r="Y215" s="287">
        <f t="shared" ref="Y215:Y234" si="29">SUM(Z215/16)</f>
        <v>80</v>
      </c>
      <c r="Z215" s="287">
        <v>1280</v>
      </c>
      <c r="AA215" s="288">
        <v>14000</v>
      </c>
      <c r="AB215" s="261">
        <f t="shared" si="26"/>
        <v>0.32139577594123048</v>
      </c>
      <c r="AC215" s="261">
        <f t="shared" si="27"/>
        <v>5.1423324150596876</v>
      </c>
      <c r="AD215" s="282"/>
      <c r="AE215" s="290" t="s">
        <v>294</v>
      </c>
      <c r="AF215" s="291">
        <v>9</v>
      </c>
      <c r="AG215" s="292" t="s">
        <v>1034</v>
      </c>
      <c r="AH215" s="293" t="s">
        <v>946</v>
      </c>
    </row>
    <row r="216" spans="1:41" s="107" customFormat="1">
      <c r="A216" s="242" t="s">
        <v>853</v>
      </c>
      <c r="B216" s="297" t="s">
        <v>1266</v>
      </c>
      <c r="C216" s="121" t="s">
        <v>678</v>
      </c>
      <c r="D216" s="490" t="s">
        <v>1094</v>
      </c>
      <c r="E216" s="490" t="s">
        <v>1094</v>
      </c>
      <c r="F216" s="490" t="s">
        <v>883</v>
      </c>
      <c r="G216" s="411" t="s">
        <v>1094</v>
      </c>
      <c r="H216" s="411" t="s">
        <v>1094</v>
      </c>
      <c r="I216" s="490" t="s">
        <v>883</v>
      </c>
      <c r="J216" s="490" t="s">
        <v>883</v>
      </c>
      <c r="K216" s="416">
        <f t="shared" si="25"/>
        <v>1.4062499999999999E-3</v>
      </c>
      <c r="L216" s="401" t="s">
        <v>1094</v>
      </c>
      <c r="M216" s="401" t="s">
        <v>1094</v>
      </c>
      <c r="N216" s="401" t="s">
        <v>1094</v>
      </c>
      <c r="O216" s="401" t="s">
        <v>1094</v>
      </c>
      <c r="P216" s="401" t="s">
        <v>1094</v>
      </c>
      <c r="Q216" s="401" t="s">
        <v>1094</v>
      </c>
      <c r="R216" s="401" t="s">
        <v>1094</v>
      </c>
      <c r="S216" s="401" t="s">
        <v>1094</v>
      </c>
      <c r="T216" s="401" t="s">
        <v>1094</v>
      </c>
      <c r="U216" s="401" t="s">
        <v>1094</v>
      </c>
      <c r="V216" s="284">
        <f t="shared" si="28"/>
        <v>11.910937500000001</v>
      </c>
      <c r="W216" s="299"/>
      <c r="X216" s="299"/>
      <c r="Y216" s="287">
        <f t="shared" si="29"/>
        <v>11.25</v>
      </c>
      <c r="Z216" s="287">
        <v>180</v>
      </c>
      <c r="AA216" s="288">
        <v>8000</v>
      </c>
      <c r="AB216" s="261">
        <f t="shared" si="26"/>
        <v>0.18365472910927455</v>
      </c>
      <c r="AC216" s="261">
        <f t="shared" si="27"/>
        <v>2.9384756657483928</v>
      </c>
      <c r="AD216" s="282"/>
      <c r="AE216" s="290" t="s">
        <v>294</v>
      </c>
      <c r="AF216" s="291">
        <v>3</v>
      </c>
      <c r="AG216" s="298" t="s">
        <v>1037</v>
      </c>
      <c r="AH216" s="377" t="s">
        <v>1299</v>
      </c>
    </row>
    <row r="217" spans="1:41" s="107" customFormat="1">
      <c r="A217" s="242" t="s">
        <v>853</v>
      </c>
      <c r="B217" s="282" t="s">
        <v>421</v>
      </c>
      <c r="C217" s="121" t="s">
        <v>765</v>
      </c>
      <c r="D217" s="490" t="s">
        <v>883</v>
      </c>
      <c r="E217" s="490" t="s">
        <v>1094</v>
      </c>
      <c r="F217" s="490" t="s">
        <v>883</v>
      </c>
      <c r="G217" s="490" t="s">
        <v>883</v>
      </c>
      <c r="H217" s="411" t="s">
        <v>1094</v>
      </c>
      <c r="I217" s="490" t="s">
        <v>883</v>
      </c>
      <c r="J217" s="411" t="s">
        <v>1094</v>
      </c>
      <c r="K217" s="416">
        <f t="shared" si="25"/>
        <v>1.1538461538461539E-2</v>
      </c>
      <c r="L217" s="401" t="s">
        <v>1094</v>
      </c>
      <c r="M217" s="401" t="s">
        <v>1094</v>
      </c>
      <c r="N217" s="401" t="s">
        <v>1094</v>
      </c>
      <c r="O217" s="401" t="s">
        <v>1094</v>
      </c>
      <c r="P217" s="401" t="s">
        <v>1094</v>
      </c>
      <c r="Q217" s="401" t="s">
        <v>1094</v>
      </c>
      <c r="R217" s="401" t="s">
        <v>1094</v>
      </c>
      <c r="S217" s="401" t="s">
        <v>1094</v>
      </c>
      <c r="T217" s="401" t="s">
        <v>1094</v>
      </c>
      <c r="U217" s="401" t="s">
        <v>1094</v>
      </c>
      <c r="V217" s="284">
        <f t="shared" si="28"/>
        <v>7.3298076923076927</v>
      </c>
      <c r="W217" s="299"/>
      <c r="X217" s="299"/>
      <c r="Y217" s="287">
        <f t="shared" si="29"/>
        <v>150</v>
      </c>
      <c r="Z217" s="287">
        <v>2400</v>
      </c>
      <c r="AA217" s="288">
        <v>13000</v>
      </c>
      <c r="AB217" s="261">
        <f t="shared" si="26"/>
        <v>0.29843893480257117</v>
      </c>
      <c r="AC217" s="261">
        <f t="shared" si="27"/>
        <v>4.7750229568411386</v>
      </c>
      <c r="AD217" s="282"/>
      <c r="AE217" s="290" t="s">
        <v>525</v>
      </c>
      <c r="AF217" s="291">
        <v>7</v>
      </c>
      <c r="AG217" s="292" t="s">
        <v>1034</v>
      </c>
      <c r="AH217" s="293" t="s">
        <v>997</v>
      </c>
    </row>
    <row r="218" spans="1:41" s="107" customFormat="1">
      <c r="A218" s="242" t="s">
        <v>853</v>
      </c>
      <c r="B218" s="282" t="s">
        <v>422</v>
      </c>
      <c r="C218" s="108" t="s">
        <v>228</v>
      </c>
      <c r="D218" s="497" t="s">
        <v>1094</v>
      </c>
      <c r="E218" s="490" t="s">
        <v>883</v>
      </c>
      <c r="F218" s="490" t="s">
        <v>883</v>
      </c>
      <c r="G218" s="411" t="s">
        <v>1094</v>
      </c>
      <c r="H218" s="411" t="s">
        <v>1094</v>
      </c>
      <c r="I218" s="490" t="s">
        <v>883</v>
      </c>
      <c r="J218" s="490" t="s">
        <v>883</v>
      </c>
      <c r="K218" s="416">
        <f t="shared" si="25"/>
        <v>1.4999999999999999E-4</v>
      </c>
      <c r="L218" s="490" t="s">
        <v>883</v>
      </c>
      <c r="M218" s="401" t="s">
        <v>1094</v>
      </c>
      <c r="N218" s="401" t="s">
        <v>1094</v>
      </c>
      <c r="O218" s="490" t="s">
        <v>883</v>
      </c>
      <c r="P218" s="401" t="s">
        <v>1094</v>
      </c>
      <c r="Q218" s="490" t="s">
        <v>883</v>
      </c>
      <c r="R218" s="401" t="s">
        <v>1094</v>
      </c>
      <c r="S218" s="401" t="s">
        <v>1094</v>
      </c>
      <c r="T218" s="490" t="s">
        <v>883</v>
      </c>
      <c r="U218" s="490" t="s">
        <v>883</v>
      </c>
      <c r="V218" s="284">
        <f t="shared" si="28"/>
        <v>0.95287500000000003</v>
      </c>
      <c r="W218" s="299"/>
      <c r="X218" s="299"/>
      <c r="Y218" s="287">
        <f t="shared" si="29"/>
        <v>15</v>
      </c>
      <c r="Z218" s="287">
        <v>240</v>
      </c>
      <c r="AA218" s="288">
        <v>100000</v>
      </c>
      <c r="AB218" s="261">
        <f t="shared" si="26"/>
        <v>2.2956841138659319</v>
      </c>
      <c r="AC218" s="261">
        <f t="shared" si="27"/>
        <v>36.73094582185491</v>
      </c>
      <c r="AD218" s="282"/>
      <c r="AE218" s="290" t="s">
        <v>294</v>
      </c>
      <c r="AF218" s="291">
        <v>8</v>
      </c>
      <c r="AG218" s="292" t="s">
        <v>1035</v>
      </c>
      <c r="AH218" s="293" t="s">
        <v>1267</v>
      </c>
    </row>
    <row r="219" spans="1:41" s="209" customFormat="1">
      <c r="A219" s="242" t="s">
        <v>853</v>
      </c>
      <c r="B219" s="297" t="s">
        <v>1268</v>
      </c>
      <c r="C219" s="121" t="s">
        <v>663</v>
      </c>
      <c r="D219" s="490" t="s">
        <v>883</v>
      </c>
      <c r="E219" s="490" t="s">
        <v>883</v>
      </c>
      <c r="F219" s="490" t="s">
        <v>1094</v>
      </c>
      <c r="G219" s="411" t="s">
        <v>1094</v>
      </c>
      <c r="H219" s="411" t="s">
        <v>1094</v>
      </c>
      <c r="I219" s="411" t="s">
        <v>1094</v>
      </c>
      <c r="J219" s="490" t="s">
        <v>883</v>
      </c>
      <c r="K219" s="416">
        <f t="shared" si="25"/>
        <v>1.8749999999999999E-3</v>
      </c>
      <c r="L219" s="401" t="s">
        <v>1094</v>
      </c>
      <c r="M219" s="401" t="s">
        <v>1094</v>
      </c>
      <c r="N219" s="401" t="s">
        <v>1094</v>
      </c>
      <c r="O219" s="401" t="s">
        <v>1094</v>
      </c>
      <c r="P219" s="401" t="s">
        <v>1094</v>
      </c>
      <c r="Q219" s="401" t="s">
        <v>1094</v>
      </c>
      <c r="R219" s="401" t="s">
        <v>1094</v>
      </c>
      <c r="S219" s="401" t="s">
        <v>1094</v>
      </c>
      <c r="T219" s="401" t="s">
        <v>1094</v>
      </c>
      <c r="U219" s="401" t="s">
        <v>1094</v>
      </c>
      <c r="V219" s="284">
        <f t="shared" si="28"/>
        <v>6.3525</v>
      </c>
      <c r="W219" s="299"/>
      <c r="X219" s="299"/>
      <c r="Y219" s="287">
        <f t="shared" si="29"/>
        <v>28.125</v>
      </c>
      <c r="Z219" s="287">
        <v>450</v>
      </c>
      <c r="AA219" s="288">
        <v>15000</v>
      </c>
      <c r="AB219" s="261">
        <f t="shared" si="26"/>
        <v>0.34435261707988979</v>
      </c>
      <c r="AC219" s="261">
        <f t="shared" si="27"/>
        <v>5.5096418732782366</v>
      </c>
      <c r="AD219" s="282"/>
      <c r="AE219" s="290" t="s">
        <v>294</v>
      </c>
      <c r="AF219" s="291">
        <v>4</v>
      </c>
      <c r="AG219" s="292" t="s">
        <v>1034</v>
      </c>
      <c r="AH219" s="293" t="s">
        <v>960</v>
      </c>
      <c r="AI219" s="107"/>
      <c r="AJ219" s="107"/>
      <c r="AK219" s="107"/>
      <c r="AL219" s="107"/>
      <c r="AM219" s="107"/>
      <c r="AN219" s="107"/>
      <c r="AO219" s="107"/>
    </row>
    <row r="220" spans="1:41" s="107" customFormat="1">
      <c r="A220" s="242" t="s">
        <v>853</v>
      </c>
      <c r="B220" s="384" t="s">
        <v>1269</v>
      </c>
      <c r="C220" s="390" t="s">
        <v>685</v>
      </c>
      <c r="D220" s="490" t="s">
        <v>1094</v>
      </c>
      <c r="E220" s="490" t="s">
        <v>883</v>
      </c>
      <c r="F220" s="490" t="s">
        <v>883</v>
      </c>
      <c r="G220" s="411" t="s">
        <v>1094</v>
      </c>
      <c r="H220" s="411" t="s">
        <v>1094</v>
      </c>
      <c r="I220" s="490" t="s">
        <v>883</v>
      </c>
      <c r="J220" s="490" t="s">
        <v>1094</v>
      </c>
      <c r="K220" s="416">
        <f t="shared" si="25"/>
        <v>4.0178571428571425E-3</v>
      </c>
      <c r="L220" s="490" t="s">
        <v>883</v>
      </c>
      <c r="M220" s="401" t="s">
        <v>1094</v>
      </c>
      <c r="N220" s="490" t="s">
        <v>883</v>
      </c>
      <c r="O220" s="401" t="s">
        <v>1094</v>
      </c>
      <c r="P220" s="490" t="s">
        <v>883</v>
      </c>
      <c r="Q220" s="401" t="s">
        <v>1094</v>
      </c>
      <c r="R220" s="490" t="s">
        <v>883</v>
      </c>
      <c r="S220" s="401" t="s">
        <v>1094</v>
      </c>
      <c r="T220" s="401" t="s">
        <v>1094</v>
      </c>
      <c r="U220" s="401" t="s">
        <v>1094</v>
      </c>
      <c r="V220" s="284">
        <f t="shared" si="28"/>
        <v>13.612500000000001</v>
      </c>
      <c r="W220" s="285"/>
      <c r="X220" s="286"/>
      <c r="Y220" s="287">
        <f t="shared" si="29"/>
        <v>28.125</v>
      </c>
      <c r="Z220" s="287">
        <v>450</v>
      </c>
      <c r="AA220" s="288">
        <v>7000</v>
      </c>
      <c r="AB220" s="261">
        <f t="shared" si="26"/>
        <v>0.16069788797061524</v>
      </c>
      <c r="AC220" s="261">
        <f t="shared" si="27"/>
        <v>2.5711662075298438</v>
      </c>
      <c r="AD220" s="289"/>
      <c r="AE220" s="290" t="s">
        <v>294</v>
      </c>
      <c r="AF220" s="291">
        <v>8</v>
      </c>
      <c r="AG220" s="292" t="s">
        <v>1034</v>
      </c>
      <c r="AH220" s="293" t="s">
        <v>946</v>
      </c>
    </row>
    <row r="221" spans="1:41" s="107" customFormat="1">
      <c r="A221" s="637" t="s">
        <v>853</v>
      </c>
      <c r="B221" s="282" t="s">
        <v>423</v>
      </c>
      <c r="C221" s="121" t="s">
        <v>653</v>
      </c>
      <c r="D221" s="490" t="s">
        <v>1094</v>
      </c>
      <c r="E221" s="490" t="s">
        <v>883</v>
      </c>
      <c r="F221" s="490" t="s">
        <v>883</v>
      </c>
      <c r="G221" s="411" t="s">
        <v>1094</v>
      </c>
      <c r="H221" s="490" t="s">
        <v>883</v>
      </c>
      <c r="I221" s="490" t="s">
        <v>883</v>
      </c>
      <c r="J221" s="490" t="s">
        <v>883</v>
      </c>
      <c r="K221" s="416">
        <f t="shared" si="25"/>
        <v>5.3571428571428572E-3</v>
      </c>
      <c r="L221" s="490" t="s">
        <v>883</v>
      </c>
      <c r="M221" s="401" t="s">
        <v>1094</v>
      </c>
      <c r="N221" s="490" t="s">
        <v>883</v>
      </c>
      <c r="O221" s="490" t="s">
        <v>883</v>
      </c>
      <c r="P221" s="490" t="s">
        <v>883</v>
      </c>
      <c r="Q221" s="401" t="s">
        <v>1094</v>
      </c>
      <c r="R221" s="490" t="s">
        <v>883</v>
      </c>
      <c r="S221" s="490" t="s">
        <v>883</v>
      </c>
      <c r="T221" s="401" t="s">
        <v>1094</v>
      </c>
      <c r="U221" s="401" t="s">
        <v>1094</v>
      </c>
      <c r="V221" s="284">
        <f t="shared" si="28"/>
        <v>68.0625</v>
      </c>
      <c r="W221" s="299"/>
      <c r="X221" s="299"/>
      <c r="Y221" s="287">
        <f t="shared" si="29"/>
        <v>7.5</v>
      </c>
      <c r="Z221" s="287">
        <v>120</v>
      </c>
      <c r="AA221" s="288">
        <v>1400</v>
      </c>
      <c r="AB221" s="261">
        <f t="shared" si="26"/>
        <v>3.2139577594123052E-2</v>
      </c>
      <c r="AC221" s="261">
        <f t="shared" si="27"/>
        <v>0.51423324150596883</v>
      </c>
      <c r="AD221" s="282"/>
      <c r="AE221" s="290" t="s">
        <v>292</v>
      </c>
      <c r="AF221" s="291">
        <v>7</v>
      </c>
      <c r="AG221" s="292" t="s">
        <v>1034</v>
      </c>
      <c r="AH221" s="293" t="s">
        <v>946</v>
      </c>
    </row>
    <row r="222" spans="1:41" s="107" customFormat="1">
      <c r="A222" s="242" t="s">
        <v>853</v>
      </c>
      <c r="B222" s="554" t="s">
        <v>424</v>
      </c>
      <c r="C222" s="385" t="s">
        <v>246</v>
      </c>
      <c r="D222" s="499" t="s">
        <v>1094</v>
      </c>
      <c r="E222" s="494" t="s">
        <v>883</v>
      </c>
      <c r="F222" s="494" t="s">
        <v>883</v>
      </c>
      <c r="G222" s="412" t="s">
        <v>1094</v>
      </c>
      <c r="H222" s="412" t="s">
        <v>1094</v>
      </c>
      <c r="I222" s="494" t="s">
        <v>883</v>
      </c>
      <c r="J222" s="494" t="s">
        <v>883</v>
      </c>
      <c r="K222" s="416">
        <f t="shared" si="25"/>
        <v>6.3157894736842104E-3</v>
      </c>
      <c r="L222" s="494" t="s">
        <v>883</v>
      </c>
      <c r="M222" s="418" t="s">
        <v>1094</v>
      </c>
      <c r="N222" s="418" t="s">
        <v>1094</v>
      </c>
      <c r="O222" s="418" t="s">
        <v>1094</v>
      </c>
      <c r="P222" s="494" t="s">
        <v>883</v>
      </c>
      <c r="Q222" s="494" t="s">
        <v>883</v>
      </c>
      <c r="R222" s="418" t="s">
        <v>1094</v>
      </c>
      <c r="S222" s="418" t="s">
        <v>1094</v>
      </c>
      <c r="T222" s="418" t="s">
        <v>1094</v>
      </c>
      <c r="U222" s="418" t="s">
        <v>1094</v>
      </c>
      <c r="V222" s="284">
        <f t="shared" si="28"/>
        <v>5.0151315789473685</v>
      </c>
      <c r="W222" s="299"/>
      <c r="X222" s="299"/>
      <c r="Y222" s="287">
        <f t="shared" si="29"/>
        <v>120</v>
      </c>
      <c r="Z222" s="287">
        <v>1920</v>
      </c>
      <c r="AA222" s="288">
        <v>19000</v>
      </c>
      <c r="AB222" s="261">
        <f t="shared" si="26"/>
        <v>0.43617998163452709</v>
      </c>
      <c r="AC222" s="261">
        <f t="shared" si="27"/>
        <v>6.9788797061524335</v>
      </c>
      <c r="AD222" s="282"/>
      <c r="AE222" s="446" t="s">
        <v>863</v>
      </c>
      <c r="AF222" s="291">
        <v>9</v>
      </c>
      <c r="AG222" s="298" t="s">
        <v>1037</v>
      </c>
      <c r="AH222" s="293" t="s">
        <v>957</v>
      </c>
    </row>
    <row r="223" spans="1:41" s="107" customFormat="1">
      <c r="A223" s="242" t="s">
        <v>853</v>
      </c>
      <c r="B223" s="282" t="s">
        <v>1081</v>
      </c>
      <c r="C223" s="121" t="s">
        <v>1080</v>
      </c>
      <c r="D223" s="490" t="s">
        <v>883</v>
      </c>
      <c r="E223" s="490" t="s">
        <v>883</v>
      </c>
      <c r="F223" s="490" t="s">
        <v>1094</v>
      </c>
      <c r="G223" s="490" t="s">
        <v>883</v>
      </c>
      <c r="H223" s="490" t="s">
        <v>883</v>
      </c>
      <c r="I223" s="411" t="s">
        <v>1094</v>
      </c>
      <c r="J223" s="490" t="s">
        <v>883</v>
      </c>
      <c r="K223" s="416">
        <f t="shared" si="25"/>
        <v>2.3076923076923076E-5</v>
      </c>
      <c r="L223" s="490" t="s">
        <v>883</v>
      </c>
      <c r="M223" s="401" t="s">
        <v>1094</v>
      </c>
      <c r="N223" s="490" t="s">
        <v>883</v>
      </c>
      <c r="O223" s="490" t="s">
        <v>883</v>
      </c>
      <c r="P223" s="490" t="s">
        <v>883</v>
      </c>
      <c r="Q223" s="490" t="s">
        <v>883</v>
      </c>
      <c r="R223" s="401" t="s">
        <v>1094</v>
      </c>
      <c r="S223" s="401" t="s">
        <v>1094</v>
      </c>
      <c r="T223" s="490" t="s">
        <v>883</v>
      </c>
      <c r="U223" s="490" t="s">
        <v>883</v>
      </c>
      <c r="V223" s="284">
        <f t="shared" si="28"/>
        <v>7.3298076923076924E-2</v>
      </c>
      <c r="W223" s="299"/>
      <c r="X223" s="299"/>
      <c r="Y223" s="287">
        <f t="shared" si="29"/>
        <v>30</v>
      </c>
      <c r="Z223" s="287">
        <v>480</v>
      </c>
      <c r="AA223" s="288">
        <v>1300000</v>
      </c>
      <c r="AB223" s="261">
        <f t="shared" si="26"/>
        <v>29.843893480257115</v>
      </c>
      <c r="AC223" s="261">
        <f t="shared" si="27"/>
        <v>477.50229568411385</v>
      </c>
      <c r="AD223" s="282"/>
      <c r="AE223" s="290" t="s">
        <v>863</v>
      </c>
      <c r="AF223" s="291">
        <v>4</v>
      </c>
      <c r="AG223" s="292" t="s">
        <v>1034</v>
      </c>
      <c r="AH223" s="377" t="s">
        <v>946</v>
      </c>
    </row>
    <row r="224" spans="1:41" s="107" customFormat="1">
      <c r="A224" s="242" t="s">
        <v>853</v>
      </c>
      <c r="B224" s="282" t="s">
        <v>425</v>
      </c>
      <c r="C224" s="122" t="s">
        <v>518</v>
      </c>
      <c r="D224" s="496" t="s">
        <v>1094</v>
      </c>
      <c r="E224" s="496" t="s">
        <v>883</v>
      </c>
      <c r="F224" s="490" t="s">
        <v>883</v>
      </c>
      <c r="G224" s="490" t="s">
        <v>883</v>
      </c>
      <c r="H224" s="411" t="s">
        <v>1094</v>
      </c>
      <c r="I224" s="490" t="s">
        <v>883</v>
      </c>
      <c r="J224" s="411" t="s">
        <v>1094</v>
      </c>
      <c r="K224" s="416">
        <f t="shared" si="25"/>
        <v>0.01</v>
      </c>
      <c r="L224" s="490" t="s">
        <v>883</v>
      </c>
      <c r="M224" s="401" t="s">
        <v>1094</v>
      </c>
      <c r="N224" s="490" t="s">
        <v>883</v>
      </c>
      <c r="O224" s="490" t="s">
        <v>883</v>
      </c>
      <c r="P224" s="401" t="s">
        <v>1094</v>
      </c>
      <c r="Q224" s="490" t="s">
        <v>883</v>
      </c>
      <c r="R224" s="490" t="s">
        <v>883</v>
      </c>
      <c r="S224" s="401" t="s">
        <v>1094</v>
      </c>
      <c r="T224" s="490" t="s">
        <v>883</v>
      </c>
      <c r="U224" s="490" t="s">
        <v>883</v>
      </c>
      <c r="V224" s="284">
        <f t="shared" si="28"/>
        <v>19.057500000000001</v>
      </c>
      <c r="W224" s="299"/>
      <c r="X224" s="299"/>
      <c r="Y224" s="287">
        <f t="shared" si="29"/>
        <v>50</v>
      </c>
      <c r="Z224" s="287">
        <v>800</v>
      </c>
      <c r="AA224" s="288">
        <v>5000</v>
      </c>
      <c r="AB224" s="261">
        <f t="shared" si="26"/>
        <v>0.1147842056932966</v>
      </c>
      <c r="AC224" s="261">
        <f t="shared" si="27"/>
        <v>1.8365472910927456</v>
      </c>
      <c r="AD224" s="282"/>
      <c r="AE224" s="290" t="s">
        <v>294</v>
      </c>
      <c r="AF224" s="291">
        <v>5</v>
      </c>
      <c r="AG224" s="298" t="s">
        <v>1037</v>
      </c>
      <c r="AH224" s="293"/>
    </row>
    <row r="225" spans="1:41" s="209" customFormat="1">
      <c r="A225" s="242" t="s">
        <v>853</v>
      </c>
      <c r="B225" s="282" t="s">
        <v>426</v>
      </c>
      <c r="C225" s="121" t="s">
        <v>638</v>
      </c>
      <c r="D225" s="490" t="s">
        <v>1094</v>
      </c>
      <c r="E225" s="490" t="s">
        <v>1094</v>
      </c>
      <c r="F225" s="490" t="s">
        <v>883</v>
      </c>
      <c r="G225" s="411" t="s">
        <v>1094</v>
      </c>
      <c r="H225" s="411" t="s">
        <v>1094</v>
      </c>
      <c r="I225" s="490" t="s">
        <v>883</v>
      </c>
      <c r="J225" s="490" t="s">
        <v>1094</v>
      </c>
      <c r="K225" s="416">
        <f t="shared" si="25"/>
        <v>2.0833333333333333E-3</v>
      </c>
      <c r="L225" s="490" t="s">
        <v>883</v>
      </c>
      <c r="M225" s="401" t="s">
        <v>1094</v>
      </c>
      <c r="N225" s="401" t="s">
        <v>1094</v>
      </c>
      <c r="O225" s="490" t="s">
        <v>883</v>
      </c>
      <c r="P225" s="401" t="s">
        <v>1094</v>
      </c>
      <c r="Q225" s="490" t="s">
        <v>883</v>
      </c>
      <c r="R225" s="401" t="s">
        <v>1094</v>
      </c>
      <c r="S225" s="401" t="s">
        <v>1094</v>
      </c>
      <c r="T225" s="401" t="s">
        <v>1094</v>
      </c>
      <c r="U225" s="490" t="s">
        <v>883</v>
      </c>
      <c r="V225" s="284">
        <f t="shared" si="28"/>
        <v>1.588125</v>
      </c>
      <c r="W225" s="299"/>
      <c r="X225" s="299"/>
      <c r="Y225" s="287">
        <f t="shared" si="29"/>
        <v>125</v>
      </c>
      <c r="Z225" s="287">
        <v>2000</v>
      </c>
      <c r="AA225" s="288">
        <v>60000</v>
      </c>
      <c r="AB225" s="261">
        <f t="shared" si="26"/>
        <v>1.3774104683195592</v>
      </c>
      <c r="AC225" s="261">
        <f t="shared" si="27"/>
        <v>22.038567493112946</v>
      </c>
      <c r="AD225" s="282"/>
      <c r="AE225" s="290" t="s">
        <v>525</v>
      </c>
      <c r="AF225" s="291">
        <v>7</v>
      </c>
      <c r="AG225" s="292" t="s">
        <v>1034</v>
      </c>
      <c r="AH225" s="293" t="s">
        <v>998</v>
      </c>
      <c r="AI225" s="107"/>
      <c r="AJ225" s="107"/>
      <c r="AK225" s="107"/>
      <c r="AL225" s="107"/>
      <c r="AM225" s="107"/>
      <c r="AN225" s="107"/>
      <c r="AO225" s="107"/>
    </row>
    <row r="226" spans="1:41" s="445" customFormat="1">
      <c r="A226" s="242" t="s">
        <v>853</v>
      </c>
      <c r="B226" s="282" t="s">
        <v>509</v>
      </c>
      <c r="C226" s="106" t="s">
        <v>600</v>
      </c>
      <c r="D226" s="501" t="s">
        <v>1094</v>
      </c>
      <c r="E226" s="491" t="s">
        <v>1094</v>
      </c>
      <c r="F226" s="490" t="s">
        <v>883</v>
      </c>
      <c r="G226" s="490" t="s">
        <v>883</v>
      </c>
      <c r="H226" s="411" t="s">
        <v>1094</v>
      </c>
      <c r="I226" s="490" t="s">
        <v>883</v>
      </c>
      <c r="J226" s="411" t="s">
        <v>1094</v>
      </c>
      <c r="K226" s="416">
        <f t="shared" si="25"/>
        <v>1.25E-3</v>
      </c>
      <c r="L226" s="490" t="s">
        <v>883</v>
      </c>
      <c r="M226" s="401" t="s">
        <v>1094</v>
      </c>
      <c r="N226" s="490" t="s">
        <v>883</v>
      </c>
      <c r="O226" s="401" t="s">
        <v>1094</v>
      </c>
      <c r="P226" s="401" t="s">
        <v>1094</v>
      </c>
      <c r="Q226" s="490" t="s">
        <v>883</v>
      </c>
      <c r="R226" s="490" t="s">
        <v>883</v>
      </c>
      <c r="S226" s="401" t="s">
        <v>1094</v>
      </c>
      <c r="T226" s="490" t="s">
        <v>883</v>
      </c>
      <c r="U226" s="490" t="s">
        <v>883</v>
      </c>
      <c r="V226" s="284">
        <f t="shared" si="28"/>
        <v>1.588125</v>
      </c>
      <c r="W226" s="299"/>
      <c r="X226" s="299"/>
      <c r="Y226" s="287">
        <f t="shared" si="29"/>
        <v>75</v>
      </c>
      <c r="Z226" s="287">
        <v>1200</v>
      </c>
      <c r="AA226" s="288">
        <v>60000</v>
      </c>
      <c r="AB226" s="261">
        <f t="shared" si="26"/>
        <v>1.3774104683195592</v>
      </c>
      <c r="AC226" s="261">
        <f t="shared" si="27"/>
        <v>22.038567493112946</v>
      </c>
      <c r="AD226" s="282"/>
      <c r="AE226" s="290" t="s">
        <v>294</v>
      </c>
      <c r="AF226" s="291">
        <v>7</v>
      </c>
      <c r="AG226" s="292" t="s">
        <v>1034</v>
      </c>
      <c r="AH226" s="293" t="s">
        <v>960</v>
      </c>
    </row>
    <row r="227" spans="1:41" s="107" customFormat="1">
      <c r="A227" s="242" t="s">
        <v>853</v>
      </c>
      <c r="B227" s="282" t="s">
        <v>427</v>
      </c>
      <c r="C227" s="108" t="s">
        <v>257</v>
      </c>
      <c r="D227" s="499" t="s">
        <v>1094</v>
      </c>
      <c r="E227" s="490" t="s">
        <v>1094</v>
      </c>
      <c r="F227" s="490" t="s">
        <v>883</v>
      </c>
      <c r="G227" s="411" t="s">
        <v>1094</v>
      </c>
      <c r="H227" s="411" t="s">
        <v>1094</v>
      </c>
      <c r="I227" s="490" t="s">
        <v>883</v>
      </c>
      <c r="J227" s="490" t="s">
        <v>1094</v>
      </c>
      <c r="K227" s="416">
        <f t="shared" si="25"/>
        <v>1.9736842105263157E-4</v>
      </c>
      <c r="L227" s="401" t="s">
        <v>1094</v>
      </c>
      <c r="M227" s="401" t="s">
        <v>1094</v>
      </c>
      <c r="N227" s="401" t="s">
        <v>1094</v>
      </c>
      <c r="O227" s="401" t="s">
        <v>1094</v>
      </c>
      <c r="P227" s="401" t="s">
        <v>1094</v>
      </c>
      <c r="Q227" s="401" t="s">
        <v>1094</v>
      </c>
      <c r="R227" s="401" t="s">
        <v>1094</v>
      </c>
      <c r="S227" s="401" t="s">
        <v>1094</v>
      </c>
      <c r="T227" s="401" t="s">
        <v>1094</v>
      </c>
      <c r="U227" s="401" t="s">
        <v>1094</v>
      </c>
      <c r="V227" s="284">
        <f t="shared" si="28"/>
        <v>1.0030263157894737</v>
      </c>
      <c r="W227" s="299"/>
      <c r="X227" s="299"/>
      <c r="Y227" s="287">
        <f t="shared" si="29"/>
        <v>18.75</v>
      </c>
      <c r="Z227" s="287">
        <v>300</v>
      </c>
      <c r="AA227" s="288">
        <v>95000</v>
      </c>
      <c r="AB227" s="261">
        <f t="shared" si="26"/>
        <v>2.1808999081726355</v>
      </c>
      <c r="AC227" s="261">
        <f t="shared" si="27"/>
        <v>34.894398530762167</v>
      </c>
      <c r="AD227" s="282"/>
      <c r="AE227" s="290" t="s">
        <v>294</v>
      </c>
      <c r="AF227" s="291">
        <v>7</v>
      </c>
      <c r="AG227" s="292" t="s">
        <v>1034</v>
      </c>
      <c r="AH227" s="293" t="s">
        <v>1236</v>
      </c>
    </row>
    <row r="228" spans="1:41" s="107" customFormat="1">
      <c r="A228" s="242" t="s">
        <v>853</v>
      </c>
      <c r="B228" s="297" t="s">
        <v>1270</v>
      </c>
      <c r="C228" s="121" t="s">
        <v>634</v>
      </c>
      <c r="D228" s="490" t="s">
        <v>1094</v>
      </c>
      <c r="E228" s="490" t="s">
        <v>1094</v>
      </c>
      <c r="F228" s="490" t="s">
        <v>883</v>
      </c>
      <c r="G228" s="411" t="s">
        <v>1094</v>
      </c>
      <c r="H228" s="411" t="s">
        <v>1094</v>
      </c>
      <c r="I228" s="490" t="s">
        <v>883</v>
      </c>
      <c r="J228" s="490" t="s">
        <v>1094</v>
      </c>
      <c r="K228" s="416">
        <f t="shared" si="25"/>
        <v>1.7045454545454545E-3</v>
      </c>
      <c r="L228" s="401" t="s">
        <v>1094</v>
      </c>
      <c r="M228" s="401" t="s">
        <v>1094</v>
      </c>
      <c r="N228" s="401" t="s">
        <v>1094</v>
      </c>
      <c r="O228" s="401" t="s">
        <v>1094</v>
      </c>
      <c r="P228" s="401" t="s">
        <v>1094</v>
      </c>
      <c r="Q228" s="401" t="s">
        <v>1094</v>
      </c>
      <c r="R228" s="401" t="s">
        <v>1094</v>
      </c>
      <c r="S228" s="401" t="s">
        <v>1094</v>
      </c>
      <c r="T228" s="401" t="s">
        <v>1094</v>
      </c>
      <c r="U228" s="401" t="s">
        <v>1094</v>
      </c>
      <c r="V228" s="284">
        <f t="shared" si="28"/>
        <v>17.324999999999999</v>
      </c>
      <c r="W228" s="299"/>
      <c r="X228" s="299"/>
      <c r="Y228" s="287">
        <f t="shared" si="29"/>
        <v>9.375</v>
      </c>
      <c r="Z228" s="287">
        <v>150</v>
      </c>
      <c r="AA228" s="288">
        <v>5500</v>
      </c>
      <c r="AB228" s="261">
        <f t="shared" si="26"/>
        <v>0.12626262626262627</v>
      </c>
      <c r="AC228" s="261">
        <f t="shared" si="27"/>
        <v>2.0202020202020203</v>
      </c>
      <c r="AD228" s="282"/>
      <c r="AE228" s="290" t="s">
        <v>863</v>
      </c>
      <c r="AF228" s="291">
        <v>6</v>
      </c>
      <c r="AG228" s="298" t="s">
        <v>1037</v>
      </c>
      <c r="AH228" s="293" t="s">
        <v>980</v>
      </c>
    </row>
    <row r="229" spans="1:41" s="107" customFormat="1">
      <c r="A229" s="242" t="s">
        <v>853</v>
      </c>
      <c r="B229" s="297" t="s">
        <v>1271</v>
      </c>
      <c r="C229" s="121" t="s">
        <v>534</v>
      </c>
      <c r="D229" s="495" t="s">
        <v>1094</v>
      </c>
      <c r="E229" s="495" t="s">
        <v>1094</v>
      </c>
      <c r="F229" s="490" t="s">
        <v>883</v>
      </c>
      <c r="G229" s="411" t="s">
        <v>883</v>
      </c>
      <c r="H229" s="411" t="s">
        <v>1094</v>
      </c>
      <c r="I229" s="411" t="s">
        <v>883</v>
      </c>
      <c r="J229" s="411" t="s">
        <v>1094</v>
      </c>
      <c r="K229" s="416">
        <f t="shared" si="25"/>
        <v>1.4999999999999999E-4</v>
      </c>
      <c r="L229" s="490" t="s">
        <v>883</v>
      </c>
      <c r="M229" s="490" t="s">
        <v>883</v>
      </c>
      <c r="N229" s="490" t="s">
        <v>883</v>
      </c>
      <c r="O229" s="490" t="s">
        <v>883</v>
      </c>
      <c r="P229" s="401" t="s">
        <v>1094</v>
      </c>
      <c r="Q229" s="490" t="s">
        <v>883</v>
      </c>
      <c r="R229" s="490" t="s">
        <v>883</v>
      </c>
      <c r="S229" s="401" t="s">
        <v>1094</v>
      </c>
      <c r="T229" s="401" t="s">
        <v>1094</v>
      </c>
      <c r="U229" s="490" t="s">
        <v>883</v>
      </c>
      <c r="V229" s="284">
        <f t="shared" si="28"/>
        <v>0.38114999999999999</v>
      </c>
      <c r="W229" s="299"/>
      <c r="X229" s="299"/>
      <c r="Y229" s="287">
        <f t="shared" si="29"/>
        <v>37.5</v>
      </c>
      <c r="Z229" s="287">
        <v>600</v>
      </c>
      <c r="AA229" s="288">
        <v>250000</v>
      </c>
      <c r="AB229" s="261">
        <f t="shared" si="26"/>
        <v>5.7392102846648303</v>
      </c>
      <c r="AC229" s="261">
        <f t="shared" si="27"/>
        <v>91.827364554637285</v>
      </c>
      <c r="AD229" s="282"/>
      <c r="AE229" s="290" t="s">
        <v>294</v>
      </c>
      <c r="AF229" s="291">
        <v>4</v>
      </c>
      <c r="AG229" s="292" t="s">
        <v>1034</v>
      </c>
      <c r="AH229" s="293"/>
      <c r="AI229" s="209"/>
      <c r="AJ229" s="209"/>
      <c r="AK229" s="209"/>
      <c r="AL229" s="209"/>
      <c r="AM229" s="209"/>
      <c r="AN229" s="209"/>
      <c r="AO229" s="209"/>
    </row>
    <row r="230" spans="1:41" s="107" customFormat="1">
      <c r="A230" s="242" t="s">
        <v>853</v>
      </c>
      <c r="B230" s="282" t="s">
        <v>428</v>
      </c>
      <c r="C230" s="106" t="s">
        <v>807</v>
      </c>
      <c r="D230" s="491" t="s">
        <v>1094</v>
      </c>
      <c r="E230" s="490" t="s">
        <v>1094</v>
      </c>
      <c r="F230" s="490" t="s">
        <v>883</v>
      </c>
      <c r="G230" s="411" t="s">
        <v>1094</v>
      </c>
      <c r="H230" s="411" t="s">
        <v>1094</v>
      </c>
      <c r="I230" s="490" t="s">
        <v>883</v>
      </c>
      <c r="J230" s="490" t="s">
        <v>1094</v>
      </c>
      <c r="K230" s="416">
        <f t="shared" si="25"/>
        <v>2.3437499999999999E-4</v>
      </c>
      <c r="L230" s="490" t="s">
        <v>883</v>
      </c>
      <c r="M230" s="401" t="s">
        <v>1094</v>
      </c>
      <c r="N230" s="401" t="s">
        <v>1094</v>
      </c>
      <c r="O230" s="490" t="s">
        <v>883</v>
      </c>
      <c r="P230" s="490" t="s">
        <v>883</v>
      </c>
      <c r="Q230" s="490" t="s">
        <v>883</v>
      </c>
      <c r="R230" s="401" t="s">
        <v>1094</v>
      </c>
      <c r="S230" s="401" t="s">
        <v>1094</v>
      </c>
      <c r="T230" s="490" t="s">
        <v>1094</v>
      </c>
      <c r="U230" s="490" t="s">
        <v>883</v>
      </c>
      <c r="V230" s="284">
        <f t="shared" si="28"/>
        <v>1.1910937500000001</v>
      </c>
      <c r="W230" s="299"/>
      <c r="X230" s="299"/>
      <c r="Y230" s="287">
        <f t="shared" si="29"/>
        <v>18.75</v>
      </c>
      <c r="Z230" s="287">
        <v>300</v>
      </c>
      <c r="AA230" s="288">
        <v>80000</v>
      </c>
      <c r="AB230" s="261">
        <f t="shared" si="26"/>
        <v>1.8365472910927456</v>
      </c>
      <c r="AC230" s="261">
        <f t="shared" si="27"/>
        <v>29.38475665748393</v>
      </c>
      <c r="AD230" s="282"/>
      <c r="AE230" s="290" t="s">
        <v>294</v>
      </c>
      <c r="AF230" s="291">
        <v>7</v>
      </c>
      <c r="AG230" s="292" t="s">
        <v>1034</v>
      </c>
      <c r="AH230" s="293" t="s">
        <v>949</v>
      </c>
    </row>
    <row r="231" spans="1:41" s="107" customFormat="1">
      <c r="A231" s="242" t="s">
        <v>853</v>
      </c>
      <c r="B231" s="384" t="s">
        <v>429</v>
      </c>
      <c r="C231" s="390" t="s">
        <v>679</v>
      </c>
      <c r="D231" s="490" t="s">
        <v>1094</v>
      </c>
      <c r="E231" s="495" t="s">
        <v>1094</v>
      </c>
      <c r="F231" s="490" t="s">
        <v>883</v>
      </c>
      <c r="G231" s="490" t="s">
        <v>1094</v>
      </c>
      <c r="H231" s="411" t="s">
        <v>1094</v>
      </c>
      <c r="I231" s="490" t="s">
        <v>883</v>
      </c>
      <c r="J231" s="490" t="s">
        <v>1094</v>
      </c>
      <c r="K231" s="416">
        <f t="shared" si="25"/>
        <v>3.0000000000000001E-3</v>
      </c>
      <c r="L231" s="490" t="s">
        <v>883</v>
      </c>
      <c r="M231" s="401" t="s">
        <v>1094</v>
      </c>
      <c r="N231" s="490" t="s">
        <v>883</v>
      </c>
      <c r="O231" s="490" t="s">
        <v>883</v>
      </c>
      <c r="P231" s="490" t="s">
        <v>883</v>
      </c>
      <c r="Q231" s="490" t="s">
        <v>883</v>
      </c>
      <c r="R231" s="401" t="s">
        <v>1094</v>
      </c>
      <c r="S231" s="401" t="s">
        <v>1094</v>
      </c>
      <c r="T231" s="401" t="s">
        <v>1094</v>
      </c>
      <c r="U231" s="490" t="s">
        <v>883</v>
      </c>
      <c r="V231" s="284">
        <f t="shared" si="28"/>
        <v>9.5287500000000005</v>
      </c>
      <c r="W231" s="299"/>
      <c r="X231" s="299"/>
      <c r="Y231" s="287">
        <f t="shared" si="29"/>
        <v>30</v>
      </c>
      <c r="Z231" s="287">
        <v>480</v>
      </c>
      <c r="AA231" s="288">
        <v>10000</v>
      </c>
      <c r="AB231" s="261">
        <f t="shared" si="26"/>
        <v>0.2295684113865932</v>
      </c>
      <c r="AC231" s="261">
        <f t="shared" si="27"/>
        <v>3.6730945821854912</v>
      </c>
      <c r="AD231" s="282"/>
      <c r="AE231" s="290" t="s">
        <v>294</v>
      </c>
      <c r="AF231" s="291">
        <v>5</v>
      </c>
      <c r="AG231" s="298" t="s">
        <v>1037</v>
      </c>
      <c r="AH231" s="377" t="s">
        <v>1310</v>
      </c>
    </row>
    <row r="232" spans="1:41" s="107" customFormat="1">
      <c r="A232" s="637" t="s">
        <v>853</v>
      </c>
      <c r="B232" s="282" t="s">
        <v>430</v>
      </c>
      <c r="C232" s="121" t="s">
        <v>727</v>
      </c>
      <c r="D232" s="490" t="s">
        <v>1094</v>
      </c>
      <c r="E232" s="490" t="s">
        <v>1094</v>
      </c>
      <c r="F232" s="495" t="s">
        <v>1094</v>
      </c>
      <c r="G232" s="411" t="s">
        <v>1094</v>
      </c>
      <c r="H232" s="411" t="s">
        <v>1094</v>
      </c>
      <c r="I232" s="415" t="s">
        <v>883</v>
      </c>
      <c r="J232" s="490" t="s">
        <v>883</v>
      </c>
      <c r="K232" s="416">
        <f t="shared" si="25"/>
        <v>7.4404761904761911E-5</v>
      </c>
      <c r="L232" s="401" t="s">
        <v>1094</v>
      </c>
      <c r="M232" s="401" t="s">
        <v>1094</v>
      </c>
      <c r="N232" s="401" t="s">
        <v>1094</v>
      </c>
      <c r="O232" s="401" t="s">
        <v>1094</v>
      </c>
      <c r="P232" s="401" t="s">
        <v>1094</v>
      </c>
      <c r="Q232" s="401" t="s">
        <v>1094</v>
      </c>
      <c r="R232" s="401" t="s">
        <v>1094</v>
      </c>
      <c r="S232" s="401" t="s">
        <v>1094</v>
      </c>
      <c r="T232" s="401" t="s">
        <v>1094</v>
      </c>
      <c r="U232" s="401" t="s">
        <v>1094</v>
      </c>
      <c r="V232" s="284">
        <f t="shared" si="28"/>
        <v>0.25208333333333333</v>
      </c>
      <c r="W232" s="299"/>
      <c r="X232" s="299"/>
      <c r="Y232" s="287">
        <f t="shared" si="29"/>
        <v>28.125</v>
      </c>
      <c r="Z232" s="287">
        <v>450</v>
      </c>
      <c r="AA232" s="288">
        <v>378000</v>
      </c>
      <c r="AB232" s="261">
        <f t="shared" si="26"/>
        <v>8.677685950413224</v>
      </c>
      <c r="AC232" s="261">
        <f t="shared" si="27"/>
        <v>138.84297520661158</v>
      </c>
      <c r="AD232" s="282"/>
      <c r="AE232" s="290" t="s">
        <v>294</v>
      </c>
      <c r="AF232" s="291">
        <v>6</v>
      </c>
      <c r="AG232" s="292" t="s">
        <v>1034</v>
      </c>
      <c r="AH232" s="293" t="s">
        <v>1240</v>
      </c>
      <c r="AI232" s="209"/>
      <c r="AJ232" s="209"/>
      <c r="AK232" s="209"/>
      <c r="AL232" s="209"/>
      <c r="AM232" s="209"/>
      <c r="AN232" s="209"/>
      <c r="AO232" s="209"/>
    </row>
    <row r="233" spans="1:41" s="107" customFormat="1" ht="14.25" customHeight="1">
      <c r="A233" s="242" t="s">
        <v>853</v>
      </c>
      <c r="B233" s="554" t="s">
        <v>431</v>
      </c>
      <c r="C233" s="639" t="s">
        <v>785</v>
      </c>
      <c r="D233" s="490" t="s">
        <v>883</v>
      </c>
      <c r="E233" s="497" t="s">
        <v>1094</v>
      </c>
      <c r="F233" s="497" t="s">
        <v>1094</v>
      </c>
      <c r="G233" s="411" t="s">
        <v>1094</v>
      </c>
      <c r="H233" s="411" t="s">
        <v>1094</v>
      </c>
      <c r="I233" s="411" t="s">
        <v>1094</v>
      </c>
      <c r="J233" s="490" t="s">
        <v>883</v>
      </c>
      <c r="K233" s="416">
        <f t="shared" si="25"/>
        <v>5.0000000000000002E-5</v>
      </c>
      <c r="L233" s="401" t="s">
        <v>1094</v>
      </c>
      <c r="M233" s="401" t="s">
        <v>1094</v>
      </c>
      <c r="N233" s="401" t="s">
        <v>1094</v>
      </c>
      <c r="O233" s="401" t="s">
        <v>1094</v>
      </c>
      <c r="P233" s="401" t="s">
        <v>1094</v>
      </c>
      <c r="Q233" s="401" t="s">
        <v>1094</v>
      </c>
      <c r="R233" s="401" t="s">
        <v>1094</v>
      </c>
      <c r="S233" s="401" t="s">
        <v>1094</v>
      </c>
      <c r="T233" s="401" t="s">
        <v>1094</v>
      </c>
      <c r="U233" s="401" t="s">
        <v>1094</v>
      </c>
      <c r="V233" s="284">
        <f t="shared" si="28"/>
        <v>0.119109375</v>
      </c>
      <c r="W233" s="299"/>
      <c r="X233" s="299"/>
      <c r="Y233" s="287">
        <f t="shared" si="29"/>
        <v>40</v>
      </c>
      <c r="Z233" s="287">
        <v>640</v>
      </c>
      <c r="AA233" s="288">
        <v>800000</v>
      </c>
      <c r="AB233" s="261">
        <f t="shared" si="26"/>
        <v>18.365472910927455</v>
      </c>
      <c r="AC233" s="261">
        <f t="shared" si="27"/>
        <v>293.84756657483928</v>
      </c>
      <c r="AD233" s="282"/>
      <c r="AE233" s="290" t="s">
        <v>294</v>
      </c>
      <c r="AF233" s="291">
        <v>4</v>
      </c>
      <c r="AG233" s="292" t="s">
        <v>1039</v>
      </c>
      <c r="AH233" s="293" t="s">
        <v>999</v>
      </c>
    </row>
    <row r="234" spans="1:41" s="107" customFormat="1" ht="13.5" customHeight="1">
      <c r="A234" s="242" t="s">
        <v>853</v>
      </c>
      <c r="B234" s="281" t="s">
        <v>432</v>
      </c>
      <c r="C234" s="106" t="s">
        <v>809</v>
      </c>
      <c r="D234" s="491" t="s">
        <v>1094</v>
      </c>
      <c r="E234" s="490" t="s">
        <v>1094</v>
      </c>
      <c r="F234" s="490" t="s">
        <v>883</v>
      </c>
      <c r="G234" s="411" t="s">
        <v>1094</v>
      </c>
      <c r="H234" s="411" t="s">
        <v>1094</v>
      </c>
      <c r="I234" s="490" t="s">
        <v>883</v>
      </c>
      <c r="J234" s="490" t="s">
        <v>883</v>
      </c>
      <c r="K234" s="416">
        <f t="shared" si="25"/>
        <v>3.4090909090909094E-4</v>
      </c>
      <c r="L234" s="401" t="s">
        <v>1094</v>
      </c>
      <c r="M234" s="401" t="s">
        <v>1094</v>
      </c>
      <c r="N234" s="401" t="s">
        <v>1094</v>
      </c>
      <c r="O234" s="401" t="s">
        <v>1094</v>
      </c>
      <c r="P234" s="401" t="s">
        <v>1094</v>
      </c>
      <c r="Q234" s="401" t="s">
        <v>1094</v>
      </c>
      <c r="R234" s="401" t="s">
        <v>1094</v>
      </c>
      <c r="S234" s="401" t="s">
        <v>1094</v>
      </c>
      <c r="T234" s="401" t="s">
        <v>1094</v>
      </c>
      <c r="U234" s="401" t="s">
        <v>1094</v>
      </c>
      <c r="V234" s="284">
        <f t="shared" si="28"/>
        <v>1.7325000000000002</v>
      </c>
      <c r="W234" s="299"/>
      <c r="X234" s="299"/>
      <c r="Y234" s="287">
        <f t="shared" si="29"/>
        <v>18.75</v>
      </c>
      <c r="Z234" s="287">
        <v>300</v>
      </c>
      <c r="AA234" s="288">
        <v>55000</v>
      </c>
      <c r="AB234" s="261">
        <f t="shared" si="26"/>
        <v>1.2626262626262625</v>
      </c>
      <c r="AC234" s="261">
        <f t="shared" si="27"/>
        <v>20.202020202020201</v>
      </c>
      <c r="AD234" s="282"/>
      <c r="AE234" s="290" t="s">
        <v>294</v>
      </c>
      <c r="AF234" s="291">
        <v>7</v>
      </c>
      <c r="AG234" s="292" t="s">
        <v>1034</v>
      </c>
      <c r="AH234" s="293" t="s">
        <v>949</v>
      </c>
    </row>
    <row r="235" spans="1:41" s="107" customFormat="1">
      <c r="A235" s="529" t="s">
        <v>853</v>
      </c>
      <c r="B235" s="530" t="s">
        <v>11218</v>
      </c>
      <c r="C235" s="550" t="s">
        <v>8303</v>
      </c>
      <c r="D235" s="547" t="s">
        <v>883</v>
      </c>
      <c r="E235" s="547" t="s">
        <v>883</v>
      </c>
      <c r="F235" s="547" t="s">
        <v>883</v>
      </c>
      <c r="G235" s="547" t="s">
        <v>883</v>
      </c>
      <c r="H235" s="548" t="s">
        <v>883</v>
      </c>
      <c r="I235" s="547" t="s">
        <v>883</v>
      </c>
      <c r="J235" s="548" t="s">
        <v>883</v>
      </c>
      <c r="K235" s="416">
        <f t="shared" si="25"/>
        <v>1.953125E-2</v>
      </c>
      <c r="L235" s="547" t="s">
        <v>1094</v>
      </c>
      <c r="M235" s="547" t="s">
        <v>1094</v>
      </c>
      <c r="N235" s="547" t="s">
        <v>1094</v>
      </c>
      <c r="O235" s="547" t="s">
        <v>1094</v>
      </c>
      <c r="P235" s="533" t="s">
        <v>1094</v>
      </c>
      <c r="Q235" s="547" t="s">
        <v>1094</v>
      </c>
      <c r="R235" s="547" t="s">
        <v>1094</v>
      </c>
      <c r="S235" s="547" t="s">
        <v>1094</v>
      </c>
      <c r="T235" s="547" t="s">
        <v>1094</v>
      </c>
      <c r="U235" s="547" t="s">
        <v>1094</v>
      </c>
      <c r="V235" s="284">
        <f t="shared" si="28"/>
        <v>124.07226562500001</v>
      </c>
      <c r="W235" s="549"/>
      <c r="X235" s="549"/>
      <c r="Y235" s="537">
        <v>15</v>
      </c>
      <c r="Z235" s="537">
        <v>240</v>
      </c>
      <c r="AA235" s="538">
        <v>768</v>
      </c>
      <c r="AB235" s="261">
        <f t="shared" si="26"/>
        <v>1.7630853994490357E-2</v>
      </c>
      <c r="AC235" s="261">
        <f t="shared" si="27"/>
        <v>0.2820936639118457</v>
      </c>
      <c r="AD235" s="530"/>
      <c r="AE235" s="540" t="s">
        <v>292</v>
      </c>
      <c r="AF235" s="541">
        <v>5</v>
      </c>
      <c r="AG235" s="542" t="s">
        <v>1034</v>
      </c>
      <c r="AH235" s="543"/>
    </row>
    <row r="236" spans="1:41" s="107" customFormat="1">
      <c r="A236" s="242" t="s">
        <v>853</v>
      </c>
      <c r="B236" s="281" t="s">
        <v>433</v>
      </c>
      <c r="C236" s="121" t="s">
        <v>755</v>
      </c>
      <c r="D236" s="490" t="s">
        <v>883</v>
      </c>
      <c r="E236" s="490" t="s">
        <v>1094</v>
      </c>
      <c r="F236" s="490" t="s">
        <v>1094</v>
      </c>
      <c r="G236" s="411" t="s">
        <v>1094</v>
      </c>
      <c r="H236" s="411" t="s">
        <v>1094</v>
      </c>
      <c r="I236" s="411" t="s">
        <v>1094</v>
      </c>
      <c r="J236" s="411" t="s">
        <v>1094</v>
      </c>
      <c r="K236" s="416">
        <f t="shared" si="25"/>
        <v>2.2499999999999999E-4</v>
      </c>
      <c r="L236" s="401" t="s">
        <v>1094</v>
      </c>
      <c r="M236" s="401" t="s">
        <v>1094</v>
      </c>
      <c r="N236" s="401" t="s">
        <v>1094</v>
      </c>
      <c r="O236" s="401" t="s">
        <v>1094</v>
      </c>
      <c r="P236" s="401" t="s">
        <v>1094</v>
      </c>
      <c r="Q236" s="401" t="s">
        <v>1094</v>
      </c>
      <c r="R236" s="401" t="s">
        <v>1094</v>
      </c>
      <c r="S236" s="401" t="s">
        <v>1094</v>
      </c>
      <c r="T236" s="401" t="s">
        <v>1094</v>
      </c>
      <c r="U236" s="401" t="s">
        <v>1094</v>
      </c>
      <c r="V236" s="284">
        <f t="shared" si="28"/>
        <v>0.38114999999999999</v>
      </c>
      <c r="W236" s="299"/>
      <c r="X236" s="299"/>
      <c r="Y236" s="287">
        <f>SUM(Z236/16)</f>
        <v>56.25</v>
      </c>
      <c r="Z236" s="287">
        <v>900</v>
      </c>
      <c r="AA236" s="288">
        <v>250000</v>
      </c>
      <c r="AB236" s="261">
        <f t="shared" si="26"/>
        <v>5.7392102846648303</v>
      </c>
      <c r="AC236" s="261">
        <f t="shared" si="27"/>
        <v>91.827364554637285</v>
      </c>
      <c r="AD236" s="282"/>
      <c r="AE236" s="290" t="s">
        <v>294</v>
      </c>
      <c r="AF236" s="291">
        <v>3</v>
      </c>
      <c r="AG236" s="292" t="s">
        <v>1034</v>
      </c>
      <c r="AH236" s="293" t="s">
        <v>1236</v>
      </c>
    </row>
    <row r="237" spans="1:41" s="107" customFormat="1">
      <c r="A237" s="242" t="s">
        <v>853</v>
      </c>
      <c r="B237" s="281" t="s">
        <v>434</v>
      </c>
      <c r="C237" s="122" t="s">
        <v>519</v>
      </c>
      <c r="D237" s="496" t="s">
        <v>1094</v>
      </c>
      <c r="E237" s="490" t="s">
        <v>1094</v>
      </c>
      <c r="F237" s="490" t="s">
        <v>883</v>
      </c>
      <c r="G237" s="411" t="s">
        <v>1094</v>
      </c>
      <c r="H237" s="411" t="s">
        <v>1094</v>
      </c>
      <c r="I237" s="490" t="s">
        <v>883</v>
      </c>
      <c r="J237" s="411" t="s">
        <v>1094</v>
      </c>
      <c r="K237" s="416">
        <f t="shared" si="25"/>
        <v>5.7142857142857147E-4</v>
      </c>
      <c r="L237" s="490" t="s">
        <v>883</v>
      </c>
      <c r="M237" s="490" t="s">
        <v>883</v>
      </c>
      <c r="N237" s="490" t="s">
        <v>883</v>
      </c>
      <c r="O237" s="490" t="s">
        <v>883</v>
      </c>
      <c r="P237" s="490" t="s">
        <v>883</v>
      </c>
      <c r="Q237" s="490" t="s">
        <v>883</v>
      </c>
      <c r="R237" s="490" t="s">
        <v>883</v>
      </c>
      <c r="S237" s="401" t="s">
        <v>1094</v>
      </c>
      <c r="T237" s="490" t="s">
        <v>883</v>
      </c>
      <c r="U237" s="490" t="s">
        <v>883</v>
      </c>
      <c r="V237" s="284">
        <f t="shared" si="28"/>
        <v>2.7225000000000001</v>
      </c>
      <c r="W237" s="299"/>
      <c r="X237" s="299"/>
      <c r="Y237" s="287">
        <f>SUM(Z237/16)</f>
        <v>20</v>
      </c>
      <c r="Z237" s="287">
        <v>320</v>
      </c>
      <c r="AA237" s="288">
        <v>35000</v>
      </c>
      <c r="AB237" s="261">
        <f t="shared" si="26"/>
        <v>0.80348943985307619</v>
      </c>
      <c r="AC237" s="261">
        <f t="shared" si="27"/>
        <v>12.855831037649219</v>
      </c>
      <c r="AD237" s="282"/>
      <c r="AE237" s="290" t="s">
        <v>293</v>
      </c>
      <c r="AF237" s="291">
        <v>8</v>
      </c>
      <c r="AG237" s="292" t="s">
        <v>1034</v>
      </c>
      <c r="AH237" s="293" t="s">
        <v>946</v>
      </c>
    </row>
    <row r="238" spans="1:41" s="107" customFormat="1">
      <c r="A238" s="242" t="s">
        <v>853</v>
      </c>
      <c r="B238" s="281" t="s">
        <v>1088</v>
      </c>
      <c r="C238" s="121" t="s">
        <v>662</v>
      </c>
      <c r="D238" s="490" t="s">
        <v>883</v>
      </c>
      <c r="E238" s="490" t="s">
        <v>883</v>
      </c>
      <c r="F238" s="490" t="s">
        <v>1094</v>
      </c>
      <c r="G238" s="411" t="s">
        <v>1094</v>
      </c>
      <c r="H238" s="411" t="s">
        <v>1094</v>
      </c>
      <c r="I238" s="411" t="s">
        <v>1094</v>
      </c>
      <c r="J238" s="490" t="s">
        <v>883</v>
      </c>
      <c r="K238" s="416">
        <f t="shared" si="25"/>
        <v>7.2115384615384622E-5</v>
      </c>
      <c r="L238" s="401" t="s">
        <v>1094</v>
      </c>
      <c r="M238" s="401" t="s">
        <v>1094</v>
      </c>
      <c r="N238" s="401" t="s">
        <v>1094</v>
      </c>
      <c r="O238" s="401" t="s">
        <v>1094</v>
      </c>
      <c r="P238" s="401" t="s">
        <v>1094</v>
      </c>
      <c r="Q238" s="401" t="s">
        <v>1094</v>
      </c>
      <c r="R238" s="401" t="s">
        <v>1094</v>
      </c>
      <c r="S238" s="401" t="s">
        <v>1094</v>
      </c>
      <c r="T238" s="401" t="s">
        <v>1094</v>
      </c>
      <c r="U238" s="401" t="s">
        <v>1094</v>
      </c>
      <c r="V238" s="284">
        <f t="shared" si="28"/>
        <v>0.73298076923076927</v>
      </c>
      <c r="W238" s="299"/>
      <c r="X238" s="299"/>
      <c r="Y238" s="287">
        <f>SUM(Z238/16)</f>
        <v>9.375</v>
      </c>
      <c r="Z238" s="287">
        <v>150</v>
      </c>
      <c r="AA238" s="288">
        <v>130000</v>
      </c>
      <c r="AB238" s="261">
        <f t="shared" si="26"/>
        <v>2.9843893480257115</v>
      </c>
      <c r="AC238" s="261">
        <f t="shared" si="27"/>
        <v>47.750229568411385</v>
      </c>
      <c r="AD238" s="282"/>
      <c r="AE238" s="290" t="s">
        <v>294</v>
      </c>
      <c r="AF238" s="291">
        <v>4</v>
      </c>
      <c r="AG238" s="292" t="s">
        <v>1034</v>
      </c>
      <c r="AH238" s="293" t="s">
        <v>1240</v>
      </c>
    </row>
    <row r="239" spans="1:41" s="107" customFormat="1">
      <c r="A239" s="242" t="s">
        <v>853</v>
      </c>
      <c r="B239" s="281" t="s">
        <v>435</v>
      </c>
      <c r="C239" s="108" t="s">
        <v>248</v>
      </c>
      <c r="D239" s="490" t="s">
        <v>883</v>
      </c>
      <c r="E239" s="497" t="s">
        <v>1094</v>
      </c>
      <c r="F239" s="490" t="s">
        <v>883</v>
      </c>
      <c r="G239" s="411" t="s">
        <v>1094</v>
      </c>
      <c r="H239" s="411" t="s">
        <v>1094</v>
      </c>
      <c r="I239" s="490" t="s">
        <v>883</v>
      </c>
      <c r="J239" s="411" t="s">
        <v>1094</v>
      </c>
      <c r="K239" s="416">
        <f t="shared" si="25"/>
        <v>2.1299999999999999E-3</v>
      </c>
      <c r="L239" s="490" t="s">
        <v>883</v>
      </c>
      <c r="M239" s="490" t="s">
        <v>883</v>
      </c>
      <c r="N239" s="490" t="s">
        <v>883</v>
      </c>
      <c r="O239" s="490" t="s">
        <v>883</v>
      </c>
      <c r="P239" s="401" t="s">
        <v>1094</v>
      </c>
      <c r="Q239" s="490" t="s">
        <v>883</v>
      </c>
      <c r="R239" s="490" t="s">
        <v>883</v>
      </c>
      <c r="S239" s="490" t="s">
        <v>883</v>
      </c>
      <c r="T239" s="490" t="s">
        <v>883</v>
      </c>
      <c r="U239" s="490" t="s">
        <v>883</v>
      </c>
      <c r="V239" s="284">
        <f t="shared" si="28"/>
        <v>0.95287500000000003</v>
      </c>
      <c r="W239" s="299"/>
      <c r="X239" s="299"/>
      <c r="Y239" s="287">
        <v>213</v>
      </c>
      <c r="Z239" s="287">
        <f>Y239*16</f>
        <v>3408</v>
      </c>
      <c r="AA239" s="288">
        <v>100000</v>
      </c>
      <c r="AB239" s="261">
        <f t="shared" si="26"/>
        <v>2.2956841138659319</v>
      </c>
      <c r="AC239" s="261">
        <f t="shared" si="27"/>
        <v>36.73094582185491</v>
      </c>
      <c r="AD239" s="282"/>
      <c r="AE239" s="290" t="s">
        <v>863</v>
      </c>
      <c r="AF239" s="291">
        <v>10</v>
      </c>
      <c r="AG239" s="292" t="s">
        <v>1034</v>
      </c>
      <c r="AH239" s="293" t="s">
        <v>946</v>
      </c>
    </row>
    <row r="240" spans="1:41" s="107" customFormat="1">
      <c r="A240" s="337" t="s">
        <v>853</v>
      </c>
      <c r="B240" s="281" t="s">
        <v>1272</v>
      </c>
      <c r="C240" s="214" t="s">
        <v>229</v>
      </c>
      <c r="D240" s="495" t="s">
        <v>1094</v>
      </c>
      <c r="E240" s="495" t="s">
        <v>883</v>
      </c>
      <c r="F240" s="495" t="s">
        <v>883</v>
      </c>
      <c r="G240" s="495" t="s">
        <v>1094</v>
      </c>
      <c r="H240" s="495" t="s">
        <v>1094</v>
      </c>
      <c r="I240" s="495" t="s">
        <v>883</v>
      </c>
      <c r="J240" s="495" t="s">
        <v>883</v>
      </c>
      <c r="K240" s="416">
        <f t="shared" si="25"/>
        <v>6.2500000000000003E-3</v>
      </c>
      <c r="L240" s="495" t="s">
        <v>883</v>
      </c>
      <c r="M240" s="495" t="s">
        <v>883</v>
      </c>
      <c r="N240" s="495" t="s">
        <v>883</v>
      </c>
      <c r="O240" s="495" t="s">
        <v>883</v>
      </c>
      <c r="P240" s="495" t="s">
        <v>1094</v>
      </c>
      <c r="Q240" s="495" t="s">
        <v>883</v>
      </c>
      <c r="R240" s="495" t="s">
        <v>883</v>
      </c>
      <c r="S240" s="495" t="s">
        <v>1094</v>
      </c>
      <c r="T240" s="495" t="s">
        <v>883</v>
      </c>
      <c r="U240" s="495" t="s">
        <v>883</v>
      </c>
      <c r="V240" s="439">
        <f t="shared" si="28"/>
        <v>63.524999999999999</v>
      </c>
      <c r="W240" s="440"/>
      <c r="X240" s="440"/>
      <c r="Y240" s="441">
        <f t="shared" ref="Y240:Y260" si="30">SUM(Z240/16)</f>
        <v>9.375</v>
      </c>
      <c r="Z240" s="441">
        <v>150</v>
      </c>
      <c r="AA240" s="442">
        <v>1500</v>
      </c>
      <c r="AB240" s="443">
        <f t="shared" si="26"/>
        <v>3.4435261707988982E-2</v>
      </c>
      <c r="AC240" s="443">
        <f t="shared" si="27"/>
        <v>0.55096418732782371</v>
      </c>
      <c r="AD240" s="281"/>
      <c r="AE240" s="446" t="s">
        <v>863</v>
      </c>
      <c r="AF240" s="345">
        <v>4</v>
      </c>
      <c r="AG240" s="444" t="s">
        <v>1034</v>
      </c>
      <c r="AH240" s="377" t="s">
        <v>11278</v>
      </c>
    </row>
    <row r="241" spans="1:41" s="107" customFormat="1">
      <c r="A241" s="242" t="s">
        <v>853</v>
      </c>
      <c r="B241" s="281" t="s">
        <v>510</v>
      </c>
      <c r="C241" s="121" t="s">
        <v>719</v>
      </c>
      <c r="D241" s="490" t="s">
        <v>1094</v>
      </c>
      <c r="E241" s="490" t="s">
        <v>1094</v>
      </c>
      <c r="F241" s="490" t="s">
        <v>883</v>
      </c>
      <c r="G241" s="490" t="s">
        <v>883</v>
      </c>
      <c r="H241" s="411" t="s">
        <v>1094</v>
      </c>
      <c r="I241" s="490" t="s">
        <v>883</v>
      </c>
      <c r="J241" s="411" t="s">
        <v>1094</v>
      </c>
      <c r="K241" s="416">
        <f t="shared" si="25"/>
        <v>1.40625E-2</v>
      </c>
      <c r="L241" s="401" t="s">
        <v>1094</v>
      </c>
      <c r="M241" s="401" t="s">
        <v>1094</v>
      </c>
      <c r="N241" s="401" t="s">
        <v>1094</v>
      </c>
      <c r="O241" s="401" t="s">
        <v>1094</v>
      </c>
      <c r="P241" s="401" t="s">
        <v>1094</v>
      </c>
      <c r="Q241" s="401" t="s">
        <v>1094</v>
      </c>
      <c r="R241" s="401" t="s">
        <v>1094</v>
      </c>
      <c r="S241" s="401" t="s">
        <v>1094</v>
      </c>
      <c r="T241" s="401" t="s">
        <v>1094</v>
      </c>
      <c r="U241" s="401" t="s">
        <v>1094</v>
      </c>
      <c r="V241" s="284">
        <f t="shared" si="28"/>
        <v>119.109375</v>
      </c>
      <c r="W241" s="299"/>
      <c r="X241" s="299"/>
      <c r="Y241" s="287">
        <f t="shared" si="30"/>
        <v>11.25</v>
      </c>
      <c r="Z241" s="287">
        <v>180</v>
      </c>
      <c r="AA241" s="288">
        <v>800</v>
      </c>
      <c r="AB241" s="261">
        <f t="shared" si="26"/>
        <v>1.8365472910927456E-2</v>
      </c>
      <c r="AC241" s="261">
        <f t="shared" si="27"/>
        <v>0.29384756657483929</v>
      </c>
      <c r="AD241" s="282"/>
      <c r="AE241" s="290" t="s">
        <v>525</v>
      </c>
      <c r="AF241" s="291">
        <v>4</v>
      </c>
      <c r="AG241" s="292" t="s">
        <v>1034</v>
      </c>
      <c r="AH241" s="293" t="s">
        <v>953</v>
      </c>
    </row>
    <row r="242" spans="1:41" s="107" customFormat="1">
      <c r="A242" s="242" t="s">
        <v>853</v>
      </c>
      <c r="B242" s="281" t="s">
        <v>436</v>
      </c>
      <c r="C242" s="121" t="s">
        <v>1082</v>
      </c>
      <c r="D242" s="490" t="s">
        <v>1094</v>
      </c>
      <c r="E242" s="490" t="s">
        <v>1094</v>
      </c>
      <c r="F242" s="490" t="s">
        <v>883</v>
      </c>
      <c r="G242" s="411" t="s">
        <v>1094</v>
      </c>
      <c r="H242" s="490" t="s">
        <v>1094</v>
      </c>
      <c r="I242" s="415" t="s">
        <v>883</v>
      </c>
      <c r="J242" s="490" t="s">
        <v>883</v>
      </c>
      <c r="K242" s="416">
        <f t="shared" si="25"/>
        <v>7.9166666666666662E-5</v>
      </c>
      <c r="L242" s="401" t="s">
        <v>1094</v>
      </c>
      <c r="M242" s="401" t="s">
        <v>1094</v>
      </c>
      <c r="N242" s="401" t="s">
        <v>1094</v>
      </c>
      <c r="O242" s="401" t="s">
        <v>1094</v>
      </c>
      <c r="P242" s="401" t="s">
        <v>1094</v>
      </c>
      <c r="Q242" s="401" t="s">
        <v>1094</v>
      </c>
      <c r="R242" s="401" t="s">
        <v>1094</v>
      </c>
      <c r="S242" s="401" t="s">
        <v>1094</v>
      </c>
      <c r="T242" s="401" t="s">
        <v>1094</v>
      </c>
      <c r="U242" s="401" t="s">
        <v>1094</v>
      </c>
      <c r="V242" s="284">
        <f t="shared" si="28"/>
        <v>0.105875</v>
      </c>
      <c r="W242" s="299"/>
      <c r="X242" s="299"/>
      <c r="Y242" s="287">
        <f t="shared" si="30"/>
        <v>71.25</v>
      </c>
      <c r="Z242" s="287">
        <v>1140</v>
      </c>
      <c r="AA242" s="288">
        <v>900000</v>
      </c>
      <c r="AB242" s="261">
        <f t="shared" si="26"/>
        <v>20.66115702479339</v>
      </c>
      <c r="AC242" s="261">
        <f t="shared" si="27"/>
        <v>330.57851239669424</v>
      </c>
      <c r="AD242" s="282"/>
      <c r="AE242" s="446" t="s">
        <v>863</v>
      </c>
      <c r="AF242" s="291">
        <v>6</v>
      </c>
      <c r="AG242" s="292" t="s">
        <v>1034</v>
      </c>
      <c r="AH242" s="377" t="s">
        <v>11305</v>
      </c>
    </row>
    <row r="243" spans="1:41" s="107" customFormat="1">
      <c r="A243" s="242" t="s">
        <v>853</v>
      </c>
      <c r="B243" s="281" t="s">
        <v>591</v>
      </c>
      <c r="C243" s="106" t="s">
        <v>590</v>
      </c>
      <c r="D243" s="490" t="s">
        <v>883</v>
      </c>
      <c r="E243" s="491" t="s">
        <v>1094</v>
      </c>
      <c r="F243" s="490" t="s">
        <v>883</v>
      </c>
      <c r="G243" s="490" t="s">
        <v>883</v>
      </c>
      <c r="H243" s="490" t="s">
        <v>883</v>
      </c>
      <c r="I243" s="490" t="s">
        <v>883</v>
      </c>
      <c r="J243" s="490" t="s">
        <v>1094</v>
      </c>
      <c r="K243" s="416">
        <f t="shared" si="25"/>
        <v>3.0303030303030303E-3</v>
      </c>
      <c r="L243" s="490" t="s">
        <v>1094</v>
      </c>
      <c r="M243" s="490" t="s">
        <v>1094</v>
      </c>
      <c r="N243" s="490" t="s">
        <v>1094</v>
      </c>
      <c r="O243" s="490" t="s">
        <v>1094</v>
      </c>
      <c r="P243" s="490" t="s">
        <v>1094</v>
      </c>
      <c r="Q243" s="490" t="s">
        <v>1094</v>
      </c>
      <c r="R243" s="490" t="s">
        <v>1094</v>
      </c>
      <c r="S243" s="490" t="s">
        <v>1094</v>
      </c>
      <c r="T243" s="490" t="s">
        <v>1094</v>
      </c>
      <c r="U243" s="490" t="s">
        <v>1094</v>
      </c>
      <c r="V243" s="284">
        <f t="shared" si="28"/>
        <v>2.8875000000000002</v>
      </c>
      <c r="W243" s="299"/>
      <c r="X243" s="299"/>
      <c r="Y243" s="287">
        <f t="shared" si="30"/>
        <v>100</v>
      </c>
      <c r="Z243" s="287">
        <v>1600</v>
      </c>
      <c r="AA243" s="288">
        <v>33000</v>
      </c>
      <c r="AB243" s="261">
        <f t="shared" si="26"/>
        <v>0.75757575757575757</v>
      </c>
      <c r="AC243" s="261">
        <f t="shared" si="27"/>
        <v>12.121212121212121</v>
      </c>
      <c r="AD243" s="282"/>
      <c r="AE243" s="446" t="s">
        <v>863</v>
      </c>
      <c r="AF243" s="291">
        <v>8</v>
      </c>
      <c r="AG243" s="292" t="s">
        <v>1034</v>
      </c>
      <c r="AH243" s="377" t="s">
        <v>946</v>
      </c>
    </row>
    <row r="244" spans="1:41" s="209" customFormat="1">
      <c r="A244" s="242" t="s">
        <v>853</v>
      </c>
      <c r="B244" s="281" t="s">
        <v>437</v>
      </c>
      <c r="C244" s="108" t="s">
        <v>225</v>
      </c>
      <c r="D244" s="497" t="s">
        <v>1094</v>
      </c>
      <c r="E244" s="490" t="s">
        <v>1094</v>
      </c>
      <c r="F244" s="490" t="s">
        <v>883</v>
      </c>
      <c r="G244" s="411" t="s">
        <v>1094</v>
      </c>
      <c r="H244" s="411" t="s">
        <v>1094</v>
      </c>
      <c r="I244" s="490" t="s">
        <v>883</v>
      </c>
      <c r="J244" s="490" t="s">
        <v>883</v>
      </c>
      <c r="K244" s="416">
        <f t="shared" si="25"/>
        <v>1.5625E-4</v>
      </c>
      <c r="L244" s="490" t="s">
        <v>883</v>
      </c>
      <c r="M244" s="401" t="s">
        <v>1094</v>
      </c>
      <c r="N244" s="401" t="s">
        <v>1094</v>
      </c>
      <c r="O244" s="490" t="s">
        <v>883</v>
      </c>
      <c r="P244" s="401" t="s">
        <v>1094</v>
      </c>
      <c r="Q244" s="490" t="s">
        <v>883</v>
      </c>
      <c r="R244" s="401" t="s">
        <v>1094</v>
      </c>
      <c r="S244" s="401" t="s">
        <v>1094</v>
      </c>
      <c r="T244" s="401" t="s">
        <v>1094</v>
      </c>
      <c r="U244" s="490" t="s">
        <v>883</v>
      </c>
      <c r="V244" s="284">
        <f t="shared" si="28"/>
        <v>1.0587500000000001</v>
      </c>
      <c r="W244" s="299"/>
      <c r="X244" s="299"/>
      <c r="Y244" s="287">
        <f t="shared" si="30"/>
        <v>14.0625</v>
      </c>
      <c r="Z244" s="287">
        <v>225</v>
      </c>
      <c r="AA244" s="288">
        <v>90000</v>
      </c>
      <c r="AB244" s="261">
        <f t="shared" si="26"/>
        <v>2.0661157024793386</v>
      </c>
      <c r="AC244" s="261">
        <f t="shared" si="27"/>
        <v>33.057851239669418</v>
      </c>
      <c r="AD244" s="282"/>
      <c r="AE244" s="290" t="s">
        <v>294</v>
      </c>
      <c r="AF244" s="291">
        <v>6</v>
      </c>
      <c r="AG244" s="292" t="s">
        <v>1035</v>
      </c>
      <c r="AH244" s="293" t="s">
        <v>1240</v>
      </c>
      <c r="AI244" s="107"/>
      <c r="AJ244" s="107"/>
      <c r="AK244" s="107"/>
      <c r="AL244" s="107"/>
      <c r="AM244" s="107"/>
      <c r="AN244" s="107"/>
      <c r="AO244" s="107"/>
    </row>
    <row r="245" spans="1:41" s="107" customFormat="1">
      <c r="A245" s="242" t="s">
        <v>853</v>
      </c>
      <c r="B245" s="281" t="s">
        <v>1311</v>
      </c>
      <c r="C245" s="121" t="s">
        <v>672</v>
      </c>
      <c r="D245" s="494" t="s">
        <v>883</v>
      </c>
      <c r="E245" s="490" t="s">
        <v>1094</v>
      </c>
      <c r="F245" s="490" t="s">
        <v>1094</v>
      </c>
      <c r="G245" s="411" t="s">
        <v>1094</v>
      </c>
      <c r="H245" s="411" t="s">
        <v>1094</v>
      </c>
      <c r="I245" s="490" t="s">
        <v>883</v>
      </c>
      <c r="J245" s="490" t="s">
        <v>1094</v>
      </c>
      <c r="K245" s="416">
        <f t="shared" si="25"/>
        <v>5.1724137931034481E-5</v>
      </c>
      <c r="L245" s="490" t="s">
        <v>883</v>
      </c>
      <c r="M245" s="401" t="s">
        <v>1094</v>
      </c>
      <c r="N245" s="401" t="s">
        <v>1094</v>
      </c>
      <c r="O245" s="401" t="s">
        <v>1094</v>
      </c>
      <c r="P245" s="401" t="s">
        <v>1094</v>
      </c>
      <c r="Q245" s="490" t="s">
        <v>883</v>
      </c>
      <c r="R245" s="401" t="s">
        <v>1094</v>
      </c>
      <c r="S245" s="401" t="s">
        <v>1094</v>
      </c>
      <c r="T245" s="401" t="s">
        <v>1094</v>
      </c>
      <c r="U245" s="490" t="s">
        <v>883</v>
      </c>
      <c r="V245" s="284">
        <f t="shared" ref="V245:V276" si="31">35/AC245</f>
        <v>0.16428879310344827</v>
      </c>
      <c r="W245" s="299"/>
      <c r="X245" s="299"/>
      <c r="Y245" s="287">
        <f t="shared" si="30"/>
        <v>30</v>
      </c>
      <c r="Z245" s="287">
        <v>480</v>
      </c>
      <c r="AA245" s="288">
        <v>580000</v>
      </c>
      <c r="AB245" s="261">
        <f t="shared" si="26"/>
        <v>13.314967860422406</v>
      </c>
      <c r="AC245" s="261">
        <f t="shared" si="27"/>
        <v>213.0394857667585</v>
      </c>
      <c r="AD245" s="282"/>
      <c r="AE245" s="290" t="s">
        <v>294</v>
      </c>
      <c r="AF245" s="291">
        <v>5</v>
      </c>
      <c r="AG245" s="292" t="s">
        <v>1034</v>
      </c>
      <c r="AH245" s="293" t="s">
        <v>1236</v>
      </c>
    </row>
    <row r="246" spans="1:41" s="107" customFormat="1">
      <c r="A246" s="242" t="s">
        <v>853</v>
      </c>
      <c r="B246" s="282" t="s">
        <v>438</v>
      </c>
      <c r="C246" s="121" t="s">
        <v>674</v>
      </c>
      <c r="D246" s="490" t="s">
        <v>883</v>
      </c>
      <c r="E246" s="490" t="s">
        <v>883</v>
      </c>
      <c r="F246" s="490" t="s">
        <v>1094</v>
      </c>
      <c r="G246" s="411" t="s">
        <v>1094</v>
      </c>
      <c r="H246" s="411" t="s">
        <v>1094</v>
      </c>
      <c r="I246" s="411" t="s">
        <v>1094</v>
      </c>
      <c r="J246" s="411" t="s">
        <v>1094</v>
      </c>
      <c r="K246" s="416">
        <f t="shared" si="25"/>
        <v>7.4999999999999997E-3</v>
      </c>
      <c r="L246" s="401" t="s">
        <v>1094</v>
      </c>
      <c r="M246" s="401" t="s">
        <v>1094</v>
      </c>
      <c r="N246" s="401" t="s">
        <v>1094</v>
      </c>
      <c r="O246" s="401" t="s">
        <v>1094</v>
      </c>
      <c r="P246" s="401" t="s">
        <v>1094</v>
      </c>
      <c r="Q246" s="401" t="s">
        <v>1094</v>
      </c>
      <c r="R246" s="401" t="s">
        <v>1094</v>
      </c>
      <c r="S246" s="401" t="s">
        <v>1094</v>
      </c>
      <c r="T246" s="401" t="s">
        <v>1094</v>
      </c>
      <c r="U246" s="401" t="s">
        <v>1094</v>
      </c>
      <c r="V246" s="284">
        <f t="shared" si="31"/>
        <v>23.821875000000002</v>
      </c>
      <c r="W246" s="299"/>
      <c r="X246" s="299"/>
      <c r="Y246" s="287">
        <f t="shared" si="30"/>
        <v>30</v>
      </c>
      <c r="Z246" s="287">
        <v>480</v>
      </c>
      <c r="AA246" s="288">
        <v>4000</v>
      </c>
      <c r="AB246" s="261">
        <f t="shared" si="26"/>
        <v>9.1827364554637275E-2</v>
      </c>
      <c r="AC246" s="261">
        <f t="shared" si="27"/>
        <v>1.4692378328741964</v>
      </c>
      <c r="AD246" s="282"/>
      <c r="AE246" s="290" t="s">
        <v>294</v>
      </c>
      <c r="AF246" s="291">
        <v>3</v>
      </c>
      <c r="AG246" s="292" t="s">
        <v>1036</v>
      </c>
      <c r="AH246" s="293" t="s">
        <v>988</v>
      </c>
    </row>
    <row r="247" spans="1:41" s="209" customFormat="1">
      <c r="A247" s="242" t="s">
        <v>853</v>
      </c>
      <c r="B247" s="386" t="s">
        <v>1300</v>
      </c>
      <c r="C247" s="387" t="s">
        <v>1316</v>
      </c>
      <c r="D247" s="490" t="s">
        <v>883</v>
      </c>
      <c r="E247" s="490" t="s">
        <v>883</v>
      </c>
      <c r="F247" s="490" t="s">
        <v>1094</v>
      </c>
      <c r="G247" s="411" t="s">
        <v>1094</v>
      </c>
      <c r="H247" s="411" t="s">
        <v>1094</v>
      </c>
      <c r="I247" s="411" t="s">
        <v>1094</v>
      </c>
      <c r="J247" s="490" t="s">
        <v>883</v>
      </c>
      <c r="K247" s="416">
        <f t="shared" si="25"/>
        <v>1.9736842105263157E-4</v>
      </c>
      <c r="L247" s="490" t="s">
        <v>883</v>
      </c>
      <c r="M247" s="401" t="s">
        <v>1094</v>
      </c>
      <c r="N247" s="401" t="s">
        <v>1094</v>
      </c>
      <c r="O247" s="401" t="s">
        <v>1094</v>
      </c>
      <c r="P247" s="401" t="s">
        <v>1094</v>
      </c>
      <c r="Q247" s="490" t="s">
        <v>883</v>
      </c>
      <c r="R247" s="401" t="s">
        <v>1094</v>
      </c>
      <c r="S247" s="401" t="s">
        <v>1094</v>
      </c>
      <c r="T247" s="401" t="s">
        <v>1094</v>
      </c>
      <c r="U247" s="490" t="s">
        <v>883</v>
      </c>
      <c r="V247" s="284">
        <f t="shared" si="31"/>
        <v>1.0030263157894737</v>
      </c>
      <c r="W247" s="299"/>
      <c r="X247" s="299"/>
      <c r="Y247" s="287">
        <f t="shared" si="30"/>
        <v>18.75</v>
      </c>
      <c r="Z247" s="287">
        <v>300</v>
      </c>
      <c r="AA247" s="288">
        <v>95000</v>
      </c>
      <c r="AB247" s="261">
        <f t="shared" si="26"/>
        <v>2.1808999081726355</v>
      </c>
      <c r="AC247" s="261">
        <f t="shared" si="27"/>
        <v>34.894398530762167</v>
      </c>
      <c r="AD247" s="282"/>
      <c r="AE247" s="290" t="s">
        <v>863</v>
      </c>
      <c r="AF247" s="291">
        <v>5</v>
      </c>
      <c r="AG247" s="292" t="s">
        <v>1034</v>
      </c>
      <c r="AH247" s="293" t="s">
        <v>1235</v>
      </c>
      <c r="AI247" s="107"/>
      <c r="AJ247" s="107"/>
      <c r="AK247" s="107"/>
      <c r="AL247" s="107"/>
      <c r="AM247" s="107"/>
      <c r="AN247" s="107"/>
      <c r="AO247" s="107"/>
    </row>
    <row r="248" spans="1:41" s="107" customFormat="1">
      <c r="A248" s="242" t="s">
        <v>853</v>
      </c>
      <c r="B248" s="282" t="s">
        <v>439</v>
      </c>
      <c r="C248" s="108" t="s">
        <v>249</v>
      </c>
      <c r="D248" s="497" t="s">
        <v>1094</v>
      </c>
      <c r="E248" s="497" t="s">
        <v>1094</v>
      </c>
      <c r="F248" s="490" t="s">
        <v>883</v>
      </c>
      <c r="G248" s="411" t="s">
        <v>1094</v>
      </c>
      <c r="H248" s="411" t="s">
        <v>1094</v>
      </c>
      <c r="I248" s="490" t="s">
        <v>883</v>
      </c>
      <c r="J248" s="490" t="s">
        <v>1094</v>
      </c>
      <c r="K248" s="416">
        <f t="shared" si="25"/>
        <v>2.6086956521739132E-3</v>
      </c>
      <c r="L248" s="490" t="s">
        <v>883</v>
      </c>
      <c r="M248" s="401" t="s">
        <v>1094</v>
      </c>
      <c r="N248" s="490" t="s">
        <v>883</v>
      </c>
      <c r="O248" s="401" t="s">
        <v>1094</v>
      </c>
      <c r="P248" s="490" t="s">
        <v>883</v>
      </c>
      <c r="Q248" s="401" t="s">
        <v>1094</v>
      </c>
      <c r="R248" s="401" t="s">
        <v>1094</v>
      </c>
      <c r="S248" s="401" t="s">
        <v>1094</v>
      </c>
      <c r="T248" s="401" t="s">
        <v>1094</v>
      </c>
      <c r="U248" s="490" t="s">
        <v>883</v>
      </c>
      <c r="V248" s="284">
        <f t="shared" si="31"/>
        <v>4.1429347826086955</v>
      </c>
      <c r="W248" s="299"/>
      <c r="X248" s="299"/>
      <c r="Y248" s="287">
        <f t="shared" si="30"/>
        <v>60</v>
      </c>
      <c r="Z248" s="287">
        <v>960</v>
      </c>
      <c r="AA248" s="288">
        <v>23000</v>
      </c>
      <c r="AB248" s="261">
        <f t="shared" si="26"/>
        <v>0.52800734618916434</v>
      </c>
      <c r="AC248" s="261">
        <f t="shared" si="27"/>
        <v>8.4481175390266294</v>
      </c>
      <c r="AD248" s="282"/>
      <c r="AE248" s="290" t="s">
        <v>294</v>
      </c>
      <c r="AF248" s="291">
        <v>4</v>
      </c>
      <c r="AG248" s="292" t="s">
        <v>1034</v>
      </c>
      <c r="AH248" s="293" t="s">
        <v>946</v>
      </c>
    </row>
    <row r="249" spans="1:41" s="107" customFormat="1">
      <c r="A249" s="242" t="s">
        <v>853</v>
      </c>
      <c r="B249" s="282" t="s">
        <v>440</v>
      </c>
      <c r="C249" s="108" t="s">
        <v>259</v>
      </c>
      <c r="D249" s="497" t="s">
        <v>1094</v>
      </c>
      <c r="E249" s="490" t="s">
        <v>883</v>
      </c>
      <c r="F249" s="490" t="s">
        <v>883</v>
      </c>
      <c r="G249" s="411" t="s">
        <v>1094</v>
      </c>
      <c r="H249" s="490" t="s">
        <v>883</v>
      </c>
      <c r="I249" s="490" t="s">
        <v>883</v>
      </c>
      <c r="J249" s="490" t="s">
        <v>883</v>
      </c>
      <c r="K249" s="416">
        <f t="shared" si="25"/>
        <v>5.8593749999999998E-4</v>
      </c>
      <c r="L249" s="490" t="s">
        <v>883</v>
      </c>
      <c r="M249" s="401" t="s">
        <v>1094</v>
      </c>
      <c r="N249" s="401" t="s">
        <v>1094</v>
      </c>
      <c r="O249" s="401" t="s">
        <v>1094</v>
      </c>
      <c r="P249" s="401" t="s">
        <v>1094</v>
      </c>
      <c r="Q249" s="401" t="s">
        <v>1094</v>
      </c>
      <c r="R249" s="490" t="s">
        <v>883</v>
      </c>
      <c r="S249" s="401" t="s">
        <v>1094</v>
      </c>
      <c r="T249" s="401" t="s">
        <v>1094</v>
      </c>
      <c r="U249" s="401" t="s">
        <v>1094</v>
      </c>
      <c r="V249" s="284">
        <f t="shared" si="31"/>
        <v>1.4888671875000001</v>
      </c>
      <c r="W249" s="299"/>
      <c r="X249" s="299"/>
      <c r="Y249" s="287">
        <f t="shared" si="30"/>
        <v>37.5</v>
      </c>
      <c r="Z249" s="287">
        <v>600</v>
      </c>
      <c r="AA249" s="288">
        <v>64000</v>
      </c>
      <c r="AB249" s="261">
        <f t="shared" si="26"/>
        <v>1.4692378328741964</v>
      </c>
      <c r="AC249" s="261">
        <f t="shared" si="27"/>
        <v>23.507805325987142</v>
      </c>
      <c r="AD249" s="282"/>
      <c r="AE249" s="290" t="s">
        <v>294</v>
      </c>
      <c r="AF249" s="291">
        <v>9</v>
      </c>
      <c r="AG249" s="292" t="s">
        <v>1034</v>
      </c>
      <c r="AH249" s="293" t="s">
        <v>949</v>
      </c>
    </row>
    <row r="250" spans="1:41" s="107" customFormat="1">
      <c r="A250" s="242" t="s">
        <v>853</v>
      </c>
      <c r="B250" s="282" t="s">
        <v>441</v>
      </c>
      <c r="C250" s="121" t="s">
        <v>656</v>
      </c>
      <c r="D250" s="495" t="s">
        <v>1094</v>
      </c>
      <c r="E250" s="495" t="s">
        <v>1094</v>
      </c>
      <c r="F250" s="490" t="s">
        <v>883</v>
      </c>
      <c r="G250" s="411" t="s">
        <v>1094</v>
      </c>
      <c r="H250" s="411" t="s">
        <v>1094</v>
      </c>
      <c r="I250" s="490" t="s">
        <v>883</v>
      </c>
      <c r="J250" s="490" t="s">
        <v>1094</v>
      </c>
      <c r="K250" s="416">
        <f t="shared" si="25"/>
        <v>4.1666666666666669E-4</v>
      </c>
      <c r="L250" s="490" t="s">
        <v>883</v>
      </c>
      <c r="M250" s="401" t="s">
        <v>1094</v>
      </c>
      <c r="N250" s="401" t="s">
        <v>1094</v>
      </c>
      <c r="O250" s="401" t="s">
        <v>1094</v>
      </c>
      <c r="P250" s="401" t="s">
        <v>1094</v>
      </c>
      <c r="Q250" s="490" t="s">
        <v>883</v>
      </c>
      <c r="R250" s="490" t="s">
        <v>883</v>
      </c>
      <c r="S250" s="490" t="s">
        <v>883</v>
      </c>
      <c r="T250" s="490" t="s">
        <v>883</v>
      </c>
      <c r="U250" s="490" t="s">
        <v>883</v>
      </c>
      <c r="V250" s="284">
        <f t="shared" si="31"/>
        <v>0.52937500000000004</v>
      </c>
      <c r="W250" s="299"/>
      <c r="X250" s="299"/>
      <c r="Y250" s="287">
        <f t="shared" si="30"/>
        <v>75</v>
      </c>
      <c r="Z250" s="287">
        <v>1200</v>
      </c>
      <c r="AA250" s="288">
        <v>180000</v>
      </c>
      <c r="AB250" s="261">
        <f t="shared" si="26"/>
        <v>4.1322314049586772</v>
      </c>
      <c r="AC250" s="261">
        <f t="shared" si="27"/>
        <v>66.115702479338836</v>
      </c>
      <c r="AD250" s="282"/>
      <c r="AE250" s="290" t="s">
        <v>294</v>
      </c>
      <c r="AF250" s="291">
        <v>8</v>
      </c>
      <c r="AG250" s="292" t="s">
        <v>1035</v>
      </c>
      <c r="AH250" s="293" t="s">
        <v>1236</v>
      </c>
    </row>
    <row r="251" spans="1:41" s="107" customFormat="1">
      <c r="A251" s="242" t="s">
        <v>853</v>
      </c>
      <c r="B251" s="282" t="s">
        <v>442</v>
      </c>
      <c r="C251" s="108" t="s">
        <v>255</v>
      </c>
      <c r="D251" s="497" t="s">
        <v>1094</v>
      </c>
      <c r="E251" s="497" t="s">
        <v>1094</v>
      </c>
      <c r="F251" s="494" t="s">
        <v>883</v>
      </c>
      <c r="G251" s="411" t="s">
        <v>1094</v>
      </c>
      <c r="H251" s="411" t="s">
        <v>1094</v>
      </c>
      <c r="I251" s="490" t="s">
        <v>883</v>
      </c>
      <c r="J251" s="490" t="s">
        <v>883</v>
      </c>
      <c r="K251" s="416">
        <f t="shared" si="25"/>
        <v>3.4298780487804876E-4</v>
      </c>
      <c r="L251" s="401" t="s">
        <v>1094</v>
      </c>
      <c r="M251" s="401" t="s">
        <v>1094</v>
      </c>
      <c r="N251" s="401" t="s">
        <v>1094</v>
      </c>
      <c r="O251" s="401" t="s">
        <v>1094</v>
      </c>
      <c r="P251" s="401" t="s">
        <v>1094</v>
      </c>
      <c r="Q251" s="401" t="s">
        <v>1094</v>
      </c>
      <c r="R251" s="401" t="s">
        <v>1094</v>
      </c>
      <c r="S251" s="401" t="s">
        <v>1094</v>
      </c>
      <c r="T251" s="401" t="s">
        <v>1094</v>
      </c>
      <c r="U251" s="401" t="s">
        <v>1094</v>
      </c>
      <c r="V251" s="284">
        <f t="shared" si="31"/>
        <v>2.3240853658536587</v>
      </c>
      <c r="W251" s="299"/>
      <c r="X251" s="299"/>
      <c r="Y251" s="287">
        <f t="shared" si="30"/>
        <v>14.0625</v>
      </c>
      <c r="Z251" s="287">
        <v>225</v>
      </c>
      <c r="AA251" s="288">
        <v>41000</v>
      </c>
      <c r="AB251" s="261">
        <f t="shared" si="26"/>
        <v>0.94123048668503217</v>
      </c>
      <c r="AC251" s="261">
        <f t="shared" si="27"/>
        <v>15.059687786960515</v>
      </c>
      <c r="AD251" s="282"/>
      <c r="AE251" s="290" t="s">
        <v>294</v>
      </c>
      <c r="AF251" s="291">
        <v>4</v>
      </c>
      <c r="AG251" s="292" t="s">
        <v>1034</v>
      </c>
      <c r="AH251" s="293" t="s">
        <v>946</v>
      </c>
    </row>
    <row r="252" spans="1:41" s="107" customFormat="1">
      <c r="A252" s="242" t="s">
        <v>853</v>
      </c>
      <c r="B252" s="297" t="s">
        <v>1273</v>
      </c>
      <c r="C252" s="121" t="s">
        <v>1274</v>
      </c>
      <c r="D252" s="492" t="s">
        <v>1094</v>
      </c>
      <c r="E252" s="493" t="s">
        <v>883</v>
      </c>
      <c r="F252" s="493" t="s">
        <v>883</v>
      </c>
      <c r="G252" s="492" t="s">
        <v>1094</v>
      </c>
      <c r="H252" s="492" t="s">
        <v>1094</v>
      </c>
      <c r="I252" s="493" t="s">
        <v>883</v>
      </c>
      <c r="J252" s="493" t="s">
        <v>883</v>
      </c>
      <c r="K252" s="416">
        <f t="shared" si="25"/>
        <v>4.1666666666666669E-4</v>
      </c>
      <c r="L252" s="493" t="s">
        <v>883</v>
      </c>
      <c r="M252" s="493" t="s">
        <v>883</v>
      </c>
      <c r="N252" s="492" t="s">
        <v>1094</v>
      </c>
      <c r="O252" s="493" t="s">
        <v>883</v>
      </c>
      <c r="P252" s="492" t="s">
        <v>1094</v>
      </c>
      <c r="Q252" s="493" t="s">
        <v>883</v>
      </c>
      <c r="R252" s="493" t="s">
        <v>883</v>
      </c>
      <c r="S252" s="493" t="s">
        <v>883</v>
      </c>
      <c r="T252" s="493" t="s">
        <v>883</v>
      </c>
      <c r="U252" s="493" t="s">
        <v>883</v>
      </c>
      <c r="V252" s="284">
        <f t="shared" si="31"/>
        <v>2.4814453125E-2</v>
      </c>
      <c r="W252" s="279"/>
      <c r="X252" s="279"/>
      <c r="Y252" s="287">
        <f t="shared" si="30"/>
        <v>1600</v>
      </c>
      <c r="Z252" s="287">
        <v>25600</v>
      </c>
      <c r="AA252" s="295">
        <v>3840000</v>
      </c>
      <c r="AB252" s="261">
        <f t="shared" si="26"/>
        <v>88.154269972451786</v>
      </c>
      <c r="AC252" s="261">
        <f t="shared" si="27"/>
        <v>1410.4683195592286</v>
      </c>
      <c r="AD252" s="297"/>
      <c r="AE252" s="290" t="s">
        <v>863</v>
      </c>
      <c r="AF252" s="296">
        <v>10</v>
      </c>
      <c r="AG252" s="298" t="s">
        <v>1034</v>
      </c>
      <c r="AH252" s="293" t="s">
        <v>1275</v>
      </c>
    </row>
    <row r="253" spans="1:41" s="107" customFormat="1">
      <c r="A253" s="242" t="s">
        <v>853</v>
      </c>
      <c r="B253" s="282" t="s">
        <v>443</v>
      </c>
      <c r="C253" s="121" t="s">
        <v>625</v>
      </c>
      <c r="D253" s="490" t="s">
        <v>1094</v>
      </c>
      <c r="E253" s="490" t="s">
        <v>883</v>
      </c>
      <c r="F253" s="490" t="s">
        <v>883</v>
      </c>
      <c r="G253" s="411" t="s">
        <v>1094</v>
      </c>
      <c r="H253" s="490" t="s">
        <v>1094</v>
      </c>
      <c r="I253" s="490" t="s">
        <v>883</v>
      </c>
      <c r="J253" s="490" t="s">
        <v>883</v>
      </c>
      <c r="K253" s="416">
        <f t="shared" si="25"/>
        <v>2.8846153846153848E-3</v>
      </c>
      <c r="L253" s="490" t="s">
        <v>883</v>
      </c>
      <c r="M253" s="490" t="s">
        <v>883</v>
      </c>
      <c r="N253" s="490" t="s">
        <v>883</v>
      </c>
      <c r="O253" s="490" t="s">
        <v>883</v>
      </c>
      <c r="P253" s="490" t="s">
        <v>883</v>
      </c>
      <c r="Q253" s="401" t="s">
        <v>1094</v>
      </c>
      <c r="R253" s="490" t="s">
        <v>883</v>
      </c>
      <c r="S253" s="490" t="s">
        <v>883</v>
      </c>
      <c r="T253" s="490" t="s">
        <v>883</v>
      </c>
      <c r="U253" s="490" t="s">
        <v>883</v>
      </c>
      <c r="V253" s="284">
        <f t="shared" si="31"/>
        <v>36.64903846153846</v>
      </c>
      <c r="W253" s="299"/>
      <c r="X253" s="299"/>
      <c r="Y253" s="287">
        <f t="shared" si="30"/>
        <v>7.5</v>
      </c>
      <c r="Z253" s="287">
        <v>120</v>
      </c>
      <c r="AA253" s="288">
        <v>2600</v>
      </c>
      <c r="AB253" s="261">
        <f t="shared" si="26"/>
        <v>5.968778696051423E-2</v>
      </c>
      <c r="AC253" s="261">
        <f t="shared" si="27"/>
        <v>0.95500459136822768</v>
      </c>
      <c r="AD253" s="282"/>
      <c r="AE253" s="290" t="s">
        <v>863</v>
      </c>
      <c r="AF253" s="291">
        <v>0</v>
      </c>
      <c r="AG253" s="292" t="s">
        <v>1036</v>
      </c>
      <c r="AH253" s="293" t="s">
        <v>1000</v>
      </c>
    </row>
    <row r="254" spans="1:41" s="107" customFormat="1">
      <c r="A254" s="242" t="s">
        <v>853</v>
      </c>
      <c r="B254" s="297" t="s">
        <v>1276</v>
      </c>
      <c r="C254" s="121" t="s">
        <v>752</v>
      </c>
      <c r="D254" s="490" t="s">
        <v>883</v>
      </c>
      <c r="E254" s="490" t="s">
        <v>1094</v>
      </c>
      <c r="F254" s="490" t="s">
        <v>1094</v>
      </c>
      <c r="G254" s="411" t="s">
        <v>1094</v>
      </c>
      <c r="H254" s="411" t="s">
        <v>1094</v>
      </c>
      <c r="I254" s="411" t="s">
        <v>883</v>
      </c>
      <c r="J254" s="490" t="s">
        <v>1094</v>
      </c>
      <c r="K254" s="416">
        <f t="shared" si="25"/>
        <v>7.4999999999999997E-3</v>
      </c>
      <c r="L254" s="490" t="s">
        <v>883</v>
      </c>
      <c r="M254" s="401" t="s">
        <v>1094</v>
      </c>
      <c r="N254" s="401" t="s">
        <v>1094</v>
      </c>
      <c r="O254" s="490" t="s">
        <v>883</v>
      </c>
      <c r="P254" s="490" t="s">
        <v>883</v>
      </c>
      <c r="Q254" s="490" t="s">
        <v>883</v>
      </c>
      <c r="R254" s="401" t="s">
        <v>1094</v>
      </c>
      <c r="S254" s="401" t="s">
        <v>1094</v>
      </c>
      <c r="T254" s="401" t="s">
        <v>1094</v>
      </c>
      <c r="U254" s="401" t="s">
        <v>1094</v>
      </c>
      <c r="V254" s="284">
        <f t="shared" si="31"/>
        <v>4.7643750000000002</v>
      </c>
      <c r="W254" s="299"/>
      <c r="X254" s="299"/>
      <c r="Y254" s="287">
        <f t="shared" si="30"/>
        <v>150</v>
      </c>
      <c r="Z254" s="287">
        <v>2400</v>
      </c>
      <c r="AA254" s="288">
        <v>20000</v>
      </c>
      <c r="AB254" s="261">
        <f t="shared" si="26"/>
        <v>0.4591368227731864</v>
      </c>
      <c r="AC254" s="261">
        <f t="shared" si="27"/>
        <v>7.3461891643709825</v>
      </c>
      <c r="AD254" s="282"/>
      <c r="AE254" s="290" t="s">
        <v>525</v>
      </c>
      <c r="AF254" s="291">
        <v>6</v>
      </c>
      <c r="AG254" s="292" t="s">
        <v>1034</v>
      </c>
      <c r="AH254" s="293" t="s">
        <v>1236</v>
      </c>
    </row>
    <row r="255" spans="1:41" s="107" customFormat="1">
      <c r="A255" s="242" t="s">
        <v>853</v>
      </c>
      <c r="B255" s="282" t="s">
        <v>444</v>
      </c>
      <c r="C255" s="121" t="s">
        <v>535</v>
      </c>
      <c r="D255" s="490" t="s">
        <v>883</v>
      </c>
      <c r="E255" s="490" t="s">
        <v>883</v>
      </c>
      <c r="F255" s="490" t="s">
        <v>1094</v>
      </c>
      <c r="G255" s="411" t="s">
        <v>1094</v>
      </c>
      <c r="H255" s="411" t="s">
        <v>1094</v>
      </c>
      <c r="I255" s="411" t="s">
        <v>1094</v>
      </c>
      <c r="J255" s="490" t="s">
        <v>883</v>
      </c>
      <c r="K255" s="416">
        <f t="shared" si="25"/>
        <v>3.5156249999999999E-4</v>
      </c>
      <c r="L255" s="490" t="s">
        <v>883</v>
      </c>
      <c r="M255" s="401" t="s">
        <v>1094</v>
      </c>
      <c r="N255" s="490" t="s">
        <v>883</v>
      </c>
      <c r="O255" s="401" t="s">
        <v>1094</v>
      </c>
      <c r="P255" s="401" t="s">
        <v>1094</v>
      </c>
      <c r="Q255" s="490" t="s">
        <v>883</v>
      </c>
      <c r="R255" s="401" t="s">
        <v>1094</v>
      </c>
      <c r="S255" s="401" t="s">
        <v>1094</v>
      </c>
      <c r="T255" s="490" t="s">
        <v>883</v>
      </c>
      <c r="U255" s="490" t="s">
        <v>883</v>
      </c>
      <c r="V255" s="284">
        <f t="shared" si="31"/>
        <v>1.1910937500000001</v>
      </c>
      <c r="W255" s="299"/>
      <c r="X255" s="299"/>
      <c r="Y255" s="287">
        <f t="shared" si="30"/>
        <v>28.125</v>
      </c>
      <c r="Z255" s="287">
        <v>450</v>
      </c>
      <c r="AA255" s="288">
        <v>80000</v>
      </c>
      <c r="AB255" s="261">
        <f t="shared" si="26"/>
        <v>1.8365472910927456</v>
      </c>
      <c r="AC255" s="261">
        <f t="shared" si="27"/>
        <v>29.38475665748393</v>
      </c>
      <c r="AD255" s="282"/>
      <c r="AE255" s="290" t="s">
        <v>294</v>
      </c>
      <c r="AF255" s="291">
        <v>5</v>
      </c>
      <c r="AG255" s="292" t="s">
        <v>1034</v>
      </c>
      <c r="AH255" s="293" t="s">
        <v>946</v>
      </c>
    </row>
    <row r="256" spans="1:41" s="107" customFormat="1">
      <c r="A256" s="242" t="s">
        <v>853</v>
      </c>
      <c r="B256" s="282" t="s">
        <v>1083</v>
      </c>
      <c r="C256" s="121" t="s">
        <v>729</v>
      </c>
      <c r="D256" s="490" t="s">
        <v>883</v>
      </c>
      <c r="E256" s="490" t="s">
        <v>1094</v>
      </c>
      <c r="F256" s="490" t="s">
        <v>1094</v>
      </c>
      <c r="G256" s="490" t="s">
        <v>883</v>
      </c>
      <c r="H256" s="411" t="s">
        <v>1094</v>
      </c>
      <c r="I256" s="411" t="s">
        <v>883</v>
      </c>
      <c r="J256" s="411" t="s">
        <v>1094</v>
      </c>
      <c r="K256" s="416">
        <f t="shared" si="25"/>
        <v>9.5999999999999992E-3</v>
      </c>
      <c r="L256" s="401" t="s">
        <v>1094</v>
      </c>
      <c r="M256" s="401" t="s">
        <v>1094</v>
      </c>
      <c r="N256" s="401" t="s">
        <v>1094</v>
      </c>
      <c r="O256" s="401" t="s">
        <v>1094</v>
      </c>
      <c r="P256" s="401" t="s">
        <v>1094</v>
      </c>
      <c r="Q256" s="401" t="s">
        <v>1094</v>
      </c>
      <c r="R256" s="401" t="s">
        <v>1094</v>
      </c>
      <c r="S256" s="401" t="s">
        <v>1094</v>
      </c>
      <c r="T256" s="401" t="s">
        <v>1094</v>
      </c>
      <c r="U256" s="401" t="s">
        <v>1094</v>
      </c>
      <c r="V256" s="284">
        <f t="shared" si="31"/>
        <v>9.5287500000000005</v>
      </c>
      <c r="W256" s="299"/>
      <c r="X256" s="299"/>
      <c r="Y256" s="287">
        <f t="shared" si="30"/>
        <v>96</v>
      </c>
      <c r="Z256" s="287">
        <v>1536</v>
      </c>
      <c r="AA256" s="288">
        <v>10000</v>
      </c>
      <c r="AB256" s="261">
        <f t="shared" si="26"/>
        <v>0.2295684113865932</v>
      </c>
      <c r="AC256" s="261">
        <f t="shared" si="27"/>
        <v>3.6730945821854912</v>
      </c>
      <c r="AD256" s="282"/>
      <c r="AE256" s="290" t="s">
        <v>292</v>
      </c>
      <c r="AF256" s="291">
        <v>6</v>
      </c>
      <c r="AG256" s="292" t="s">
        <v>1034</v>
      </c>
      <c r="AH256" s="293" t="s">
        <v>946</v>
      </c>
      <c r="AI256" s="209"/>
      <c r="AJ256" s="209"/>
      <c r="AK256" s="209"/>
      <c r="AL256" s="209"/>
      <c r="AM256" s="209"/>
      <c r="AN256" s="209"/>
      <c r="AO256" s="209"/>
    </row>
    <row r="257" spans="1:41" s="107" customFormat="1">
      <c r="A257" s="242" t="s">
        <v>853</v>
      </c>
      <c r="B257" s="297" t="s">
        <v>1277</v>
      </c>
      <c r="C257" s="121" t="s">
        <v>695</v>
      </c>
      <c r="D257" s="490" t="s">
        <v>883</v>
      </c>
      <c r="E257" s="490" t="s">
        <v>883</v>
      </c>
      <c r="F257" s="490" t="s">
        <v>1094</v>
      </c>
      <c r="G257" s="411" t="s">
        <v>1094</v>
      </c>
      <c r="H257" s="411" t="s">
        <v>1094</v>
      </c>
      <c r="I257" s="490" t="s">
        <v>883</v>
      </c>
      <c r="J257" s="490" t="s">
        <v>883</v>
      </c>
      <c r="K257" s="416">
        <f t="shared" si="25"/>
        <v>4.0706152089815791E-3</v>
      </c>
      <c r="L257" s="490" t="s">
        <v>883</v>
      </c>
      <c r="M257" s="401" t="s">
        <v>1094</v>
      </c>
      <c r="N257" s="401" t="s">
        <v>1094</v>
      </c>
      <c r="O257" s="401" t="s">
        <v>1094</v>
      </c>
      <c r="P257" s="401" t="s">
        <v>1094</v>
      </c>
      <c r="Q257" s="490" t="s">
        <v>883</v>
      </c>
      <c r="R257" s="401" t="s">
        <v>1094</v>
      </c>
      <c r="S257" s="401" t="s">
        <v>1094</v>
      </c>
      <c r="T257" s="401" t="s">
        <v>1094</v>
      </c>
      <c r="U257" s="401" t="s">
        <v>1094</v>
      </c>
      <c r="V257" s="284">
        <f t="shared" si="31"/>
        <v>1.9393937336291609</v>
      </c>
      <c r="W257" s="299"/>
      <c r="X257" s="299"/>
      <c r="Y257" s="287">
        <f t="shared" si="30"/>
        <v>200</v>
      </c>
      <c r="Z257" s="287">
        <v>3200</v>
      </c>
      <c r="AA257" s="288">
        <v>49132.622400346627</v>
      </c>
      <c r="AB257" s="261">
        <f t="shared" si="26"/>
        <v>1.127929807170492</v>
      </c>
      <c r="AC257" s="261">
        <f t="shared" si="27"/>
        <v>18.046876914727871</v>
      </c>
      <c r="AD257" s="282"/>
      <c r="AE257" s="290" t="s">
        <v>863</v>
      </c>
      <c r="AF257" s="291">
        <v>7</v>
      </c>
      <c r="AG257" s="292" t="s">
        <v>1034</v>
      </c>
      <c r="AH257" s="320" t="s">
        <v>1003</v>
      </c>
    </row>
    <row r="258" spans="1:41" s="107" customFormat="1">
      <c r="A258" s="242" t="s">
        <v>853</v>
      </c>
      <c r="B258" s="282" t="s">
        <v>445</v>
      </c>
      <c r="C258" s="121" t="s">
        <v>711</v>
      </c>
      <c r="D258" s="490" t="s">
        <v>883</v>
      </c>
      <c r="E258" s="490" t="s">
        <v>883</v>
      </c>
      <c r="F258" s="490" t="s">
        <v>1094</v>
      </c>
      <c r="G258" s="411" t="s">
        <v>1094</v>
      </c>
      <c r="H258" s="411" t="s">
        <v>1094</v>
      </c>
      <c r="I258" s="411" t="s">
        <v>1094</v>
      </c>
      <c r="J258" s="490" t="s">
        <v>883</v>
      </c>
      <c r="K258" s="416">
        <f t="shared" si="25"/>
        <v>1.7045454545454547E-4</v>
      </c>
      <c r="L258" s="490" t="s">
        <v>1094</v>
      </c>
      <c r="M258" s="401" t="s">
        <v>1094</v>
      </c>
      <c r="N258" s="490" t="s">
        <v>1094</v>
      </c>
      <c r="O258" s="401" t="s">
        <v>1094</v>
      </c>
      <c r="P258" s="401" t="s">
        <v>1094</v>
      </c>
      <c r="Q258" s="401" t="s">
        <v>1094</v>
      </c>
      <c r="R258" s="401" t="s">
        <v>1094</v>
      </c>
      <c r="S258" s="401" t="s">
        <v>1094</v>
      </c>
      <c r="T258" s="401" t="s">
        <v>1094</v>
      </c>
      <c r="U258" s="490" t="s">
        <v>1094</v>
      </c>
      <c r="V258" s="284">
        <f t="shared" si="31"/>
        <v>2.1656249999999999</v>
      </c>
      <c r="W258" s="299"/>
      <c r="X258" s="299"/>
      <c r="Y258" s="287">
        <f t="shared" si="30"/>
        <v>7.5</v>
      </c>
      <c r="Z258" s="287">
        <v>120</v>
      </c>
      <c r="AA258" s="288">
        <v>44000</v>
      </c>
      <c r="AB258" s="261">
        <f t="shared" si="26"/>
        <v>1.0101010101010102</v>
      </c>
      <c r="AC258" s="261">
        <f t="shared" si="27"/>
        <v>16.161616161616163</v>
      </c>
      <c r="AD258" s="282"/>
      <c r="AE258" s="290" t="s">
        <v>294</v>
      </c>
      <c r="AF258" s="291">
        <v>7</v>
      </c>
      <c r="AG258" s="292" t="s">
        <v>1038</v>
      </c>
      <c r="AH258" s="293" t="s">
        <v>982</v>
      </c>
    </row>
    <row r="259" spans="1:41" s="107" customFormat="1">
      <c r="A259" s="242" t="s">
        <v>853</v>
      </c>
      <c r="B259" s="282" t="s">
        <v>446</v>
      </c>
      <c r="C259" s="106" t="s">
        <v>880</v>
      </c>
      <c r="D259" s="490" t="s">
        <v>883</v>
      </c>
      <c r="E259" s="491" t="s">
        <v>883</v>
      </c>
      <c r="F259" s="491" t="s">
        <v>1094</v>
      </c>
      <c r="G259" s="411" t="s">
        <v>1094</v>
      </c>
      <c r="H259" s="490" t="s">
        <v>1094</v>
      </c>
      <c r="I259" s="411" t="s">
        <v>1094</v>
      </c>
      <c r="J259" s="490" t="s">
        <v>883</v>
      </c>
      <c r="K259" s="416">
        <f t="shared" si="25"/>
        <v>2.3437499999999999E-3</v>
      </c>
      <c r="L259" s="401" t="s">
        <v>1094</v>
      </c>
      <c r="M259" s="401" t="s">
        <v>1094</v>
      </c>
      <c r="N259" s="401" t="s">
        <v>1094</v>
      </c>
      <c r="O259" s="401" t="s">
        <v>1094</v>
      </c>
      <c r="P259" s="401" t="s">
        <v>1094</v>
      </c>
      <c r="Q259" s="401" t="s">
        <v>1094</v>
      </c>
      <c r="R259" s="401" t="s">
        <v>1094</v>
      </c>
      <c r="S259" s="401" t="s">
        <v>1094</v>
      </c>
      <c r="T259" s="401" t="s">
        <v>1094</v>
      </c>
      <c r="U259" s="401" t="s">
        <v>1094</v>
      </c>
      <c r="V259" s="284">
        <f t="shared" si="31"/>
        <v>19.8515625</v>
      </c>
      <c r="W259" s="299"/>
      <c r="X259" s="299"/>
      <c r="Y259" s="287">
        <f t="shared" si="30"/>
        <v>11.25</v>
      </c>
      <c r="Z259" s="287">
        <v>180</v>
      </c>
      <c r="AA259" s="288">
        <v>4800</v>
      </c>
      <c r="AB259" s="261">
        <f t="shared" si="26"/>
        <v>0.11019283746556474</v>
      </c>
      <c r="AC259" s="261">
        <f t="shared" si="27"/>
        <v>1.7630853994490359</v>
      </c>
      <c r="AD259" s="282"/>
      <c r="AE259" s="290" t="s">
        <v>863</v>
      </c>
      <c r="AF259" s="291">
        <v>4</v>
      </c>
      <c r="AG259" s="292" t="s">
        <v>1034</v>
      </c>
      <c r="AH259" s="293" t="s">
        <v>960</v>
      </c>
    </row>
    <row r="260" spans="1:41" s="107" customFormat="1">
      <c r="A260" s="242" t="s">
        <v>853</v>
      </c>
      <c r="B260" s="282" t="s">
        <v>447</v>
      </c>
      <c r="C260" s="121" t="s">
        <v>744</v>
      </c>
      <c r="D260" s="490" t="s">
        <v>883</v>
      </c>
      <c r="E260" s="490" t="s">
        <v>883</v>
      </c>
      <c r="F260" s="490" t="s">
        <v>1094</v>
      </c>
      <c r="G260" s="411" t="s">
        <v>1094</v>
      </c>
      <c r="H260" s="411" t="s">
        <v>1094</v>
      </c>
      <c r="I260" s="411" t="s">
        <v>1094</v>
      </c>
      <c r="J260" s="411" t="s">
        <v>883</v>
      </c>
      <c r="K260" s="416">
        <f t="shared" ref="K260:K327" si="32">Y260/AA260</f>
        <v>8.4657508678992997E-5</v>
      </c>
      <c r="L260" s="490" t="s">
        <v>883</v>
      </c>
      <c r="M260" s="401" t="s">
        <v>1094</v>
      </c>
      <c r="N260" s="490" t="s">
        <v>883</v>
      </c>
      <c r="O260" s="401" t="s">
        <v>1094</v>
      </c>
      <c r="P260" s="401" t="s">
        <v>1094</v>
      </c>
      <c r="Q260" s="490" t="s">
        <v>883</v>
      </c>
      <c r="R260" s="401" t="s">
        <v>1094</v>
      </c>
      <c r="S260" s="401" t="s">
        <v>1094</v>
      </c>
      <c r="T260" s="490" t="s">
        <v>883</v>
      </c>
      <c r="U260" s="490" t="s">
        <v>883</v>
      </c>
      <c r="V260" s="284">
        <f t="shared" si="31"/>
        <v>0.13444670597082575</v>
      </c>
      <c r="W260" s="299"/>
      <c r="X260" s="299"/>
      <c r="Y260" s="287">
        <f t="shared" si="30"/>
        <v>60</v>
      </c>
      <c r="Z260" s="287">
        <v>960</v>
      </c>
      <c r="AA260" s="286">
        <v>708738.078125</v>
      </c>
      <c r="AB260" s="261">
        <f t="shared" ref="AB260:AB323" si="33">(AA260/43560)</f>
        <v>16.270387468434343</v>
      </c>
      <c r="AC260" s="261">
        <f t="shared" ref="AC260:AC323" si="34">AB260*16</f>
        <v>260.32619949494949</v>
      </c>
      <c r="AD260" s="282"/>
      <c r="AE260" s="290" t="s">
        <v>525</v>
      </c>
      <c r="AF260" s="291">
        <v>7</v>
      </c>
      <c r="AG260" s="292" t="s">
        <v>1034</v>
      </c>
      <c r="AH260" s="293" t="s">
        <v>1236</v>
      </c>
    </row>
    <row r="261" spans="1:41" s="107" customFormat="1">
      <c r="A261" s="242" t="s">
        <v>853</v>
      </c>
      <c r="B261" s="282" t="s">
        <v>448</v>
      </c>
      <c r="C261" s="122" t="s">
        <v>520</v>
      </c>
      <c r="D261" s="490" t="s">
        <v>883</v>
      </c>
      <c r="E261" s="490" t="s">
        <v>883</v>
      </c>
      <c r="F261" s="496" t="s">
        <v>1094</v>
      </c>
      <c r="G261" s="411" t="s">
        <v>1094</v>
      </c>
      <c r="H261" s="490" t="s">
        <v>1094</v>
      </c>
      <c r="I261" s="490" t="s">
        <v>1094</v>
      </c>
      <c r="J261" s="490" t="s">
        <v>883</v>
      </c>
      <c r="K261" s="416">
        <f t="shared" si="32"/>
        <v>1.1428571428571429E-2</v>
      </c>
      <c r="L261" s="490" t="s">
        <v>883</v>
      </c>
      <c r="M261" s="401" t="s">
        <v>1094</v>
      </c>
      <c r="N261" s="401" t="s">
        <v>1094</v>
      </c>
      <c r="O261" s="401" t="s">
        <v>1094</v>
      </c>
      <c r="P261" s="401" t="s">
        <v>1094</v>
      </c>
      <c r="Q261" s="490" t="s">
        <v>883</v>
      </c>
      <c r="R261" s="490" t="s">
        <v>883</v>
      </c>
      <c r="S261" s="490" t="s">
        <v>883</v>
      </c>
      <c r="T261" s="490" t="s">
        <v>883</v>
      </c>
      <c r="U261" s="490" t="s">
        <v>883</v>
      </c>
      <c r="V261" s="284">
        <f t="shared" si="31"/>
        <v>13.612500000000001</v>
      </c>
      <c r="W261" s="299"/>
      <c r="X261" s="299"/>
      <c r="Y261" s="287">
        <v>80</v>
      </c>
      <c r="Z261" s="287">
        <v>1280</v>
      </c>
      <c r="AA261" s="288">
        <v>7000</v>
      </c>
      <c r="AB261" s="261">
        <f t="shared" si="33"/>
        <v>0.16069788797061524</v>
      </c>
      <c r="AC261" s="261">
        <f t="shared" si="34"/>
        <v>2.5711662075298438</v>
      </c>
      <c r="AD261" s="282"/>
      <c r="AE261" s="290" t="s">
        <v>294</v>
      </c>
      <c r="AF261" s="291">
        <v>9</v>
      </c>
      <c r="AG261" s="292" t="s">
        <v>1035</v>
      </c>
      <c r="AH261" s="293"/>
    </row>
    <row r="262" spans="1:41" s="107" customFormat="1">
      <c r="A262" s="242" t="s">
        <v>853</v>
      </c>
      <c r="B262" s="282" t="s">
        <v>449</v>
      </c>
      <c r="C262" s="121" t="s">
        <v>704</v>
      </c>
      <c r="D262" s="490" t="s">
        <v>883</v>
      </c>
      <c r="E262" s="490" t="s">
        <v>1094</v>
      </c>
      <c r="F262" s="490" t="s">
        <v>883</v>
      </c>
      <c r="G262" s="490" t="s">
        <v>883</v>
      </c>
      <c r="H262" s="490" t="s">
        <v>883</v>
      </c>
      <c r="I262" s="490" t="s">
        <v>883</v>
      </c>
      <c r="J262" s="411" t="s">
        <v>1094</v>
      </c>
      <c r="K262" s="416">
        <f t="shared" si="32"/>
        <v>7.4999999999999997E-3</v>
      </c>
      <c r="L262" s="401" t="s">
        <v>1094</v>
      </c>
      <c r="M262" s="401" t="s">
        <v>1094</v>
      </c>
      <c r="N262" s="401" t="s">
        <v>1094</v>
      </c>
      <c r="O262" s="401" t="s">
        <v>1094</v>
      </c>
      <c r="P262" s="401" t="s">
        <v>1094</v>
      </c>
      <c r="Q262" s="401" t="s">
        <v>1094</v>
      </c>
      <c r="R262" s="401" t="s">
        <v>1094</v>
      </c>
      <c r="S262" s="401" t="s">
        <v>1094</v>
      </c>
      <c r="T262" s="401" t="s">
        <v>1094</v>
      </c>
      <c r="U262" s="401" t="s">
        <v>1094</v>
      </c>
      <c r="V262" s="284">
        <f t="shared" si="31"/>
        <v>38.115000000000002</v>
      </c>
      <c r="W262" s="299"/>
      <c r="X262" s="299"/>
      <c r="Y262" s="287">
        <f t="shared" ref="Y262:Y275" si="35">SUM(Z262/16)</f>
        <v>18.75</v>
      </c>
      <c r="Z262" s="287">
        <v>300</v>
      </c>
      <c r="AA262" s="288">
        <v>2500</v>
      </c>
      <c r="AB262" s="261">
        <f t="shared" si="33"/>
        <v>5.73921028466483E-2</v>
      </c>
      <c r="AC262" s="261">
        <f t="shared" si="34"/>
        <v>0.91827364554637281</v>
      </c>
      <c r="AD262" s="282"/>
      <c r="AE262" s="290" t="s">
        <v>525</v>
      </c>
      <c r="AF262" s="291">
        <v>3</v>
      </c>
      <c r="AG262" s="292" t="s">
        <v>1034</v>
      </c>
      <c r="AH262" s="293" t="s">
        <v>946</v>
      </c>
      <c r="AI262" s="209"/>
      <c r="AJ262" s="209"/>
      <c r="AK262" s="209"/>
      <c r="AL262" s="209"/>
      <c r="AM262" s="209"/>
      <c r="AN262" s="209"/>
      <c r="AO262" s="209"/>
    </row>
    <row r="263" spans="1:41" s="107" customFormat="1">
      <c r="A263" s="242" t="s">
        <v>853</v>
      </c>
      <c r="B263" s="282" t="s">
        <v>782</v>
      </c>
      <c r="C263" s="108" t="s">
        <v>783</v>
      </c>
      <c r="D263" s="490" t="s">
        <v>883</v>
      </c>
      <c r="E263" s="490" t="s">
        <v>883</v>
      </c>
      <c r="F263" s="497" t="s">
        <v>1094</v>
      </c>
      <c r="G263" s="411" t="s">
        <v>883</v>
      </c>
      <c r="H263" s="490" t="s">
        <v>883</v>
      </c>
      <c r="I263" s="411" t="s">
        <v>1094</v>
      </c>
      <c r="J263" s="490" t="s">
        <v>883</v>
      </c>
      <c r="K263" s="416">
        <f t="shared" si="32"/>
        <v>8.5227272727272723E-4</v>
      </c>
      <c r="L263" s="490" t="s">
        <v>883</v>
      </c>
      <c r="M263" s="401" t="s">
        <v>1094</v>
      </c>
      <c r="N263" s="490" t="s">
        <v>883</v>
      </c>
      <c r="O263" s="490" t="s">
        <v>883</v>
      </c>
      <c r="P263" s="401" t="s">
        <v>1094</v>
      </c>
      <c r="Q263" s="490" t="s">
        <v>883</v>
      </c>
      <c r="R263" s="490" t="s">
        <v>883</v>
      </c>
      <c r="S263" s="490" t="s">
        <v>883</v>
      </c>
      <c r="T263" s="401" t="s">
        <v>1094</v>
      </c>
      <c r="U263" s="401" t="s">
        <v>1094</v>
      </c>
      <c r="V263" s="284">
        <f t="shared" si="31"/>
        <v>14.4375</v>
      </c>
      <c r="W263" s="299"/>
      <c r="X263" s="299"/>
      <c r="Y263" s="287">
        <f t="shared" si="35"/>
        <v>5.625</v>
      </c>
      <c r="Z263" s="287">
        <v>90</v>
      </c>
      <c r="AA263" s="288">
        <v>6600</v>
      </c>
      <c r="AB263" s="261">
        <f t="shared" si="33"/>
        <v>0.15151515151515152</v>
      </c>
      <c r="AC263" s="261">
        <f t="shared" si="34"/>
        <v>2.4242424242424243</v>
      </c>
      <c r="AD263" s="282"/>
      <c r="AE263" s="290" t="s">
        <v>292</v>
      </c>
      <c r="AF263" s="291">
        <v>8</v>
      </c>
      <c r="AG263" s="292" t="s">
        <v>1034</v>
      </c>
      <c r="AH263" s="293" t="s">
        <v>946</v>
      </c>
      <c r="AI263" s="209"/>
      <c r="AJ263" s="209"/>
      <c r="AK263" s="209"/>
      <c r="AL263" s="209"/>
      <c r="AM263" s="209"/>
      <c r="AN263" s="209"/>
      <c r="AO263" s="209"/>
    </row>
    <row r="264" spans="1:41" s="107" customFormat="1">
      <c r="A264" s="242" t="s">
        <v>853</v>
      </c>
      <c r="B264" s="281" t="s">
        <v>1309</v>
      </c>
      <c r="C264" s="121" t="s">
        <v>648</v>
      </c>
      <c r="D264" s="490" t="s">
        <v>883</v>
      </c>
      <c r="E264" s="490" t="s">
        <v>1094</v>
      </c>
      <c r="F264" s="490" t="s">
        <v>883</v>
      </c>
      <c r="G264" s="411" t="s">
        <v>883</v>
      </c>
      <c r="H264" s="411" t="s">
        <v>1094</v>
      </c>
      <c r="I264" s="490" t="s">
        <v>883</v>
      </c>
      <c r="J264" s="411" t="s">
        <v>1094</v>
      </c>
      <c r="K264" s="416">
        <f t="shared" si="32"/>
        <v>4.4642857142857141E-4</v>
      </c>
      <c r="L264" s="401" t="s">
        <v>1094</v>
      </c>
      <c r="M264" s="401" t="s">
        <v>1094</v>
      </c>
      <c r="N264" s="401" t="s">
        <v>1094</v>
      </c>
      <c r="O264" s="401" t="s">
        <v>1094</v>
      </c>
      <c r="P264" s="401" t="s">
        <v>1094</v>
      </c>
      <c r="Q264" s="401" t="s">
        <v>1094</v>
      </c>
      <c r="R264" s="401" t="s">
        <v>1094</v>
      </c>
      <c r="S264" s="401" t="s">
        <v>1094</v>
      </c>
      <c r="T264" s="401" t="s">
        <v>1094</v>
      </c>
      <c r="U264" s="401" t="s">
        <v>1094</v>
      </c>
      <c r="V264" s="284">
        <f t="shared" si="31"/>
        <v>2.2687500000000003</v>
      </c>
      <c r="W264" s="299"/>
      <c r="X264" s="299"/>
      <c r="Y264" s="287">
        <f t="shared" si="35"/>
        <v>18.75</v>
      </c>
      <c r="Z264" s="287">
        <v>300</v>
      </c>
      <c r="AA264" s="288">
        <v>42000</v>
      </c>
      <c r="AB264" s="261">
        <f t="shared" si="33"/>
        <v>0.96418732782369143</v>
      </c>
      <c r="AC264" s="261">
        <f t="shared" si="34"/>
        <v>15.426997245179063</v>
      </c>
      <c r="AD264" s="282"/>
      <c r="AE264" s="290" t="s">
        <v>294</v>
      </c>
      <c r="AF264" s="291">
        <v>6</v>
      </c>
      <c r="AG264" s="292" t="s">
        <v>1034</v>
      </c>
      <c r="AH264" s="293" t="s">
        <v>994</v>
      </c>
    </row>
    <row r="265" spans="1:41" s="107" customFormat="1">
      <c r="A265" s="242" t="s">
        <v>853</v>
      </c>
      <c r="B265" s="282" t="s">
        <v>450</v>
      </c>
      <c r="C265" s="121" t="s">
        <v>619</v>
      </c>
      <c r="D265" s="490" t="s">
        <v>883</v>
      </c>
      <c r="E265" s="490" t="s">
        <v>1094</v>
      </c>
      <c r="F265" s="490" t="s">
        <v>883</v>
      </c>
      <c r="G265" s="490" t="s">
        <v>883</v>
      </c>
      <c r="H265" s="411" t="s">
        <v>1094</v>
      </c>
      <c r="I265" s="490" t="s">
        <v>883</v>
      </c>
      <c r="J265" s="411" t="s">
        <v>1094</v>
      </c>
      <c r="K265" s="416">
        <f t="shared" si="32"/>
        <v>1.1029411764705883E-4</v>
      </c>
      <c r="L265" s="401" t="s">
        <v>1094</v>
      </c>
      <c r="M265" s="401" t="s">
        <v>1094</v>
      </c>
      <c r="N265" s="401" t="s">
        <v>1094</v>
      </c>
      <c r="O265" s="401" t="s">
        <v>1094</v>
      </c>
      <c r="P265" s="401" t="s">
        <v>1094</v>
      </c>
      <c r="Q265" s="401" t="s">
        <v>1094</v>
      </c>
      <c r="R265" s="401" t="s">
        <v>1094</v>
      </c>
      <c r="S265" s="401" t="s">
        <v>1094</v>
      </c>
      <c r="T265" s="401" t="s">
        <v>1094</v>
      </c>
      <c r="U265" s="401" t="s">
        <v>1094</v>
      </c>
      <c r="V265" s="284">
        <f t="shared" si="31"/>
        <v>0.56051470588235297</v>
      </c>
      <c r="W265" s="299"/>
      <c r="X265" s="299"/>
      <c r="Y265" s="287">
        <f t="shared" si="35"/>
        <v>18.75</v>
      </c>
      <c r="Z265" s="287">
        <v>300</v>
      </c>
      <c r="AA265" s="288">
        <v>170000</v>
      </c>
      <c r="AB265" s="261">
        <f t="shared" si="33"/>
        <v>3.9026629935720845</v>
      </c>
      <c r="AC265" s="261">
        <f t="shared" si="34"/>
        <v>62.442607897153351</v>
      </c>
      <c r="AD265" s="282"/>
      <c r="AE265" s="290" t="s">
        <v>294</v>
      </c>
      <c r="AF265" s="291">
        <v>4</v>
      </c>
      <c r="AG265" s="292" t="s">
        <v>1035</v>
      </c>
      <c r="AH265" s="293" t="s">
        <v>955</v>
      </c>
      <c r="AL265" s="219"/>
    </row>
    <row r="266" spans="1:41" s="107" customFormat="1">
      <c r="A266" s="242" t="s">
        <v>853</v>
      </c>
      <c r="B266" s="282" t="s">
        <v>1278</v>
      </c>
      <c r="C266" s="121" t="s">
        <v>680</v>
      </c>
      <c r="D266" s="490" t="s">
        <v>1094</v>
      </c>
      <c r="E266" s="490" t="s">
        <v>1094</v>
      </c>
      <c r="F266" s="490" t="s">
        <v>883</v>
      </c>
      <c r="G266" s="411" t="s">
        <v>1094</v>
      </c>
      <c r="H266" s="411" t="s">
        <v>1094</v>
      </c>
      <c r="I266" s="490" t="s">
        <v>883</v>
      </c>
      <c r="J266" s="490" t="s">
        <v>883</v>
      </c>
      <c r="K266" s="416">
        <f t="shared" si="32"/>
        <v>8.7890625000000002E-4</v>
      </c>
      <c r="L266" s="401" t="s">
        <v>1094</v>
      </c>
      <c r="M266" s="401" t="s">
        <v>1094</v>
      </c>
      <c r="N266" s="401" t="s">
        <v>1094</v>
      </c>
      <c r="O266" s="401" t="s">
        <v>1094</v>
      </c>
      <c r="P266" s="401" t="s">
        <v>1094</v>
      </c>
      <c r="Q266" s="401" t="s">
        <v>1094</v>
      </c>
      <c r="R266" s="401" t="s">
        <v>1094</v>
      </c>
      <c r="S266" s="401" t="s">
        <v>1094</v>
      </c>
      <c r="T266" s="401" t="s">
        <v>1094</v>
      </c>
      <c r="U266" s="401" t="s">
        <v>1094</v>
      </c>
      <c r="V266" s="284">
        <f t="shared" si="31"/>
        <v>5.9554687500000005</v>
      </c>
      <c r="W266" s="285"/>
      <c r="X266" s="286"/>
      <c r="Y266" s="287">
        <f t="shared" si="35"/>
        <v>14.0625</v>
      </c>
      <c r="Z266" s="287">
        <v>225</v>
      </c>
      <c r="AA266" s="288">
        <v>16000</v>
      </c>
      <c r="AB266" s="261">
        <f t="shared" si="33"/>
        <v>0.3673094582185491</v>
      </c>
      <c r="AC266" s="261">
        <f t="shared" si="34"/>
        <v>5.8769513314967856</v>
      </c>
      <c r="AD266" s="289"/>
      <c r="AE266" s="290" t="s">
        <v>294</v>
      </c>
      <c r="AF266" s="291">
        <v>8</v>
      </c>
      <c r="AG266" s="292" t="s">
        <v>1034</v>
      </c>
      <c r="AH266" s="293" t="s">
        <v>946</v>
      </c>
    </row>
    <row r="267" spans="1:41" s="107" customFormat="1">
      <c r="A267" s="242" t="s">
        <v>853</v>
      </c>
      <c r="B267" s="282" t="s">
        <v>451</v>
      </c>
      <c r="C267" s="121" t="s">
        <v>735</v>
      </c>
      <c r="D267" s="490" t="s">
        <v>883</v>
      </c>
      <c r="E267" s="490" t="s">
        <v>1094</v>
      </c>
      <c r="F267" s="490" t="s">
        <v>1094</v>
      </c>
      <c r="G267" s="490" t="s">
        <v>883</v>
      </c>
      <c r="H267" s="411" t="s">
        <v>1094</v>
      </c>
      <c r="I267" s="490" t="s">
        <v>883</v>
      </c>
      <c r="J267" s="411" t="s">
        <v>1094</v>
      </c>
      <c r="K267" s="416">
        <f t="shared" si="32"/>
        <v>1.5285326086956523E-4</v>
      </c>
      <c r="L267" s="401" t="s">
        <v>1094</v>
      </c>
      <c r="M267" s="401" t="s">
        <v>1094</v>
      </c>
      <c r="N267" s="401" t="s">
        <v>1094</v>
      </c>
      <c r="O267" s="401" t="s">
        <v>1094</v>
      </c>
      <c r="P267" s="401" t="s">
        <v>1094</v>
      </c>
      <c r="Q267" s="401" t="s">
        <v>1094</v>
      </c>
      <c r="R267" s="401" t="s">
        <v>1094</v>
      </c>
      <c r="S267" s="401" t="s">
        <v>1094</v>
      </c>
      <c r="T267" s="401" t="s">
        <v>1094</v>
      </c>
      <c r="U267" s="401" t="s">
        <v>1094</v>
      </c>
      <c r="V267" s="284">
        <f t="shared" si="31"/>
        <v>1.0357336956521739</v>
      </c>
      <c r="W267" s="299"/>
      <c r="X267" s="299"/>
      <c r="Y267" s="287">
        <f t="shared" si="35"/>
        <v>14.0625</v>
      </c>
      <c r="Z267" s="287">
        <v>225</v>
      </c>
      <c r="AA267" s="288">
        <v>92000</v>
      </c>
      <c r="AB267" s="261">
        <f t="shared" si="33"/>
        <v>2.1120293847566574</v>
      </c>
      <c r="AC267" s="261">
        <f t="shared" si="34"/>
        <v>33.792470156106518</v>
      </c>
      <c r="AD267" s="282"/>
      <c r="AE267" s="290" t="s">
        <v>294</v>
      </c>
      <c r="AF267" s="291">
        <v>4</v>
      </c>
      <c r="AG267" s="292" t="s">
        <v>1034</v>
      </c>
      <c r="AH267" s="293" t="s">
        <v>952</v>
      </c>
    </row>
    <row r="268" spans="1:41" s="107" customFormat="1">
      <c r="A268" s="242" t="s">
        <v>853</v>
      </c>
      <c r="B268" s="282" t="s">
        <v>452</v>
      </c>
      <c r="C268" s="121" t="s">
        <v>876</v>
      </c>
      <c r="D268" s="490" t="s">
        <v>1094</v>
      </c>
      <c r="E268" s="490" t="s">
        <v>1094</v>
      </c>
      <c r="F268" s="490" t="s">
        <v>883</v>
      </c>
      <c r="G268" s="411" t="s">
        <v>1094</v>
      </c>
      <c r="H268" s="490" t="s">
        <v>1094</v>
      </c>
      <c r="I268" s="490" t="s">
        <v>883</v>
      </c>
      <c r="J268" s="411" t="s">
        <v>1094</v>
      </c>
      <c r="K268" s="416">
        <f t="shared" si="32"/>
        <v>4.8913043478260872E-5</v>
      </c>
      <c r="L268" s="401" t="s">
        <v>1094</v>
      </c>
      <c r="M268" s="401" t="s">
        <v>1094</v>
      </c>
      <c r="N268" s="401" t="s">
        <v>1094</v>
      </c>
      <c r="O268" s="401" t="s">
        <v>1094</v>
      </c>
      <c r="P268" s="401" t="s">
        <v>1094</v>
      </c>
      <c r="Q268" s="401" t="s">
        <v>1094</v>
      </c>
      <c r="R268" s="401" t="s">
        <v>1094</v>
      </c>
      <c r="S268" s="401" t="s">
        <v>1094</v>
      </c>
      <c r="T268" s="401" t="s">
        <v>1094</v>
      </c>
      <c r="U268" s="401" t="s">
        <v>1094</v>
      </c>
      <c r="V268" s="284">
        <f t="shared" si="31"/>
        <v>0.33143478260869563</v>
      </c>
      <c r="W268" s="299"/>
      <c r="X268" s="299"/>
      <c r="Y268" s="287">
        <f t="shared" si="35"/>
        <v>14.0625</v>
      </c>
      <c r="Z268" s="287">
        <v>225</v>
      </c>
      <c r="AA268" s="288">
        <v>287500</v>
      </c>
      <c r="AB268" s="261">
        <f t="shared" si="33"/>
        <v>6.6000918273645546</v>
      </c>
      <c r="AC268" s="261">
        <f t="shared" si="34"/>
        <v>105.60146923783287</v>
      </c>
      <c r="AD268" s="282"/>
      <c r="AE268" s="290" t="s">
        <v>294</v>
      </c>
      <c r="AF268" s="291">
        <v>0</v>
      </c>
      <c r="AG268" s="292" t="s">
        <v>1034</v>
      </c>
      <c r="AH268" s="293"/>
    </row>
    <row r="269" spans="1:41" s="107" customFormat="1">
      <c r="A269" s="242" t="s">
        <v>853</v>
      </c>
      <c r="B269" s="282" t="s">
        <v>453</v>
      </c>
      <c r="C269" s="121" t="s">
        <v>589</v>
      </c>
      <c r="D269" s="490" t="s">
        <v>883</v>
      </c>
      <c r="E269" s="490" t="s">
        <v>883</v>
      </c>
      <c r="F269" s="490" t="s">
        <v>1094</v>
      </c>
      <c r="G269" s="411" t="s">
        <v>1094</v>
      </c>
      <c r="H269" s="411" t="s">
        <v>1094</v>
      </c>
      <c r="I269" s="411" t="s">
        <v>1094</v>
      </c>
      <c r="J269" s="490" t="s">
        <v>1094</v>
      </c>
      <c r="K269" s="416">
        <f t="shared" si="32"/>
        <v>4.0000000000000001E-3</v>
      </c>
      <c r="L269" s="490" t="s">
        <v>883</v>
      </c>
      <c r="M269" s="401" t="s">
        <v>1094</v>
      </c>
      <c r="N269" s="490" t="s">
        <v>883</v>
      </c>
      <c r="O269" s="490" t="s">
        <v>883</v>
      </c>
      <c r="P269" s="490" t="s">
        <v>883</v>
      </c>
      <c r="Q269" s="490" t="s">
        <v>883</v>
      </c>
      <c r="R269" s="401" t="s">
        <v>1094</v>
      </c>
      <c r="S269" s="401" t="s">
        <v>1094</v>
      </c>
      <c r="T269" s="490" t="s">
        <v>883</v>
      </c>
      <c r="U269" s="490" t="s">
        <v>883</v>
      </c>
      <c r="V269" s="284">
        <f t="shared" si="31"/>
        <v>9.5287500000000005</v>
      </c>
      <c r="W269" s="299"/>
      <c r="X269" s="299"/>
      <c r="Y269" s="287">
        <f t="shared" si="35"/>
        <v>40</v>
      </c>
      <c r="Z269" s="287">
        <v>640</v>
      </c>
      <c r="AA269" s="288">
        <v>10000</v>
      </c>
      <c r="AB269" s="261">
        <f t="shared" si="33"/>
        <v>0.2295684113865932</v>
      </c>
      <c r="AC269" s="261">
        <f t="shared" si="34"/>
        <v>3.6730945821854912</v>
      </c>
      <c r="AD269" s="282"/>
      <c r="AE269" s="290" t="s">
        <v>294</v>
      </c>
      <c r="AF269" s="321" t="s">
        <v>615</v>
      </c>
      <c r="AG269" s="292" t="s">
        <v>1034</v>
      </c>
      <c r="AH269" s="293" t="s">
        <v>960</v>
      </c>
    </row>
    <row r="270" spans="1:41" s="107" customFormat="1">
      <c r="A270" s="242" t="s">
        <v>853</v>
      </c>
      <c r="B270" s="282" t="s">
        <v>454</v>
      </c>
      <c r="C270" s="106" t="s">
        <v>793</v>
      </c>
      <c r="D270" s="491" t="s">
        <v>1094</v>
      </c>
      <c r="E270" s="490" t="s">
        <v>1094</v>
      </c>
      <c r="F270" s="490" t="s">
        <v>883</v>
      </c>
      <c r="G270" s="411" t="s">
        <v>1094</v>
      </c>
      <c r="H270" s="411" t="s">
        <v>1094</v>
      </c>
      <c r="I270" s="490" t="s">
        <v>883</v>
      </c>
      <c r="J270" s="411" t="s">
        <v>1094</v>
      </c>
      <c r="K270" s="416">
        <f t="shared" si="32"/>
        <v>1.6741071428571428E-3</v>
      </c>
      <c r="L270" s="401" t="s">
        <v>1094</v>
      </c>
      <c r="M270" s="401" t="s">
        <v>1094</v>
      </c>
      <c r="N270" s="401" t="s">
        <v>1094</v>
      </c>
      <c r="O270" s="401" t="s">
        <v>1094</v>
      </c>
      <c r="P270" s="401" t="s">
        <v>1094</v>
      </c>
      <c r="Q270" s="401" t="s">
        <v>1094</v>
      </c>
      <c r="R270" s="401" t="s">
        <v>1094</v>
      </c>
      <c r="S270" s="401" t="s">
        <v>1094</v>
      </c>
      <c r="T270" s="401" t="s">
        <v>1094</v>
      </c>
      <c r="U270" s="401" t="s">
        <v>1094</v>
      </c>
      <c r="V270" s="284">
        <f t="shared" si="31"/>
        <v>3.4031250000000002</v>
      </c>
      <c r="W270" s="299"/>
      <c r="X270" s="299"/>
      <c r="Y270" s="287">
        <f t="shared" si="35"/>
        <v>46.875</v>
      </c>
      <c r="Z270" s="287">
        <v>750</v>
      </c>
      <c r="AA270" s="288">
        <v>28000</v>
      </c>
      <c r="AB270" s="261">
        <f t="shared" si="33"/>
        <v>0.64279155188246095</v>
      </c>
      <c r="AC270" s="261">
        <f t="shared" si="34"/>
        <v>10.284664830119375</v>
      </c>
      <c r="AD270" s="282"/>
      <c r="AE270" s="290" t="s">
        <v>863</v>
      </c>
      <c r="AF270" s="291">
        <v>4</v>
      </c>
      <c r="AG270" s="292" t="s">
        <v>1034</v>
      </c>
      <c r="AH270" s="293" t="s">
        <v>949</v>
      </c>
    </row>
    <row r="271" spans="1:41" s="107" customFormat="1">
      <c r="A271" s="242" t="s">
        <v>853</v>
      </c>
      <c r="B271" s="282" t="s">
        <v>455</v>
      </c>
      <c r="C271" s="121" t="s">
        <v>646</v>
      </c>
      <c r="D271" s="490" t="s">
        <v>1094</v>
      </c>
      <c r="E271" s="490" t="s">
        <v>1094</v>
      </c>
      <c r="F271" s="490" t="s">
        <v>883</v>
      </c>
      <c r="G271" s="411" t="s">
        <v>1094</v>
      </c>
      <c r="H271" s="411" t="s">
        <v>1094</v>
      </c>
      <c r="I271" s="490" t="s">
        <v>883</v>
      </c>
      <c r="J271" s="490" t="s">
        <v>1094</v>
      </c>
      <c r="K271" s="416">
        <f t="shared" si="32"/>
        <v>1.875E-4</v>
      </c>
      <c r="L271" s="401" t="s">
        <v>1094</v>
      </c>
      <c r="M271" s="401" t="s">
        <v>1094</v>
      </c>
      <c r="N271" s="401" t="s">
        <v>1094</v>
      </c>
      <c r="O271" s="401" t="s">
        <v>1094</v>
      </c>
      <c r="P271" s="401" t="s">
        <v>1094</v>
      </c>
      <c r="Q271" s="401" t="s">
        <v>1094</v>
      </c>
      <c r="R271" s="401" t="s">
        <v>1094</v>
      </c>
      <c r="S271" s="401" t="s">
        <v>1094</v>
      </c>
      <c r="T271" s="401" t="s">
        <v>1094</v>
      </c>
      <c r="U271" s="401" t="s">
        <v>1094</v>
      </c>
      <c r="V271" s="284">
        <f t="shared" si="31"/>
        <v>1.9057500000000001</v>
      </c>
      <c r="W271" s="299"/>
      <c r="X271" s="299"/>
      <c r="Y271" s="287">
        <f t="shared" si="35"/>
        <v>9.375</v>
      </c>
      <c r="Z271" s="287">
        <v>150</v>
      </c>
      <c r="AA271" s="288">
        <v>50000</v>
      </c>
      <c r="AB271" s="261">
        <f t="shared" si="33"/>
        <v>1.1478420569329659</v>
      </c>
      <c r="AC271" s="261">
        <f t="shared" si="34"/>
        <v>18.365472910927455</v>
      </c>
      <c r="AD271" s="282"/>
      <c r="AE271" s="290" t="s">
        <v>294</v>
      </c>
      <c r="AF271" s="291">
        <v>2</v>
      </c>
      <c r="AG271" s="292" t="s">
        <v>1034</v>
      </c>
      <c r="AH271" s="293" t="s">
        <v>946</v>
      </c>
    </row>
    <row r="272" spans="1:41" s="107" customFormat="1">
      <c r="A272" s="242" t="s">
        <v>853</v>
      </c>
      <c r="B272" s="282" t="s">
        <v>456</v>
      </c>
      <c r="C272" s="121" t="s">
        <v>627</v>
      </c>
      <c r="D272" s="494" t="s">
        <v>883</v>
      </c>
      <c r="E272" s="490" t="s">
        <v>1094</v>
      </c>
      <c r="F272" s="490" t="s">
        <v>883</v>
      </c>
      <c r="G272" s="411" t="s">
        <v>1094</v>
      </c>
      <c r="H272" s="411" t="s">
        <v>1094</v>
      </c>
      <c r="I272" s="490" t="s">
        <v>883</v>
      </c>
      <c r="J272" s="490" t="s">
        <v>1094</v>
      </c>
      <c r="K272" s="416">
        <f t="shared" si="32"/>
        <v>1.0044642857142856E-3</v>
      </c>
      <c r="L272" s="490" t="s">
        <v>883</v>
      </c>
      <c r="M272" s="401" t="s">
        <v>1094</v>
      </c>
      <c r="N272" s="490" t="s">
        <v>883</v>
      </c>
      <c r="O272" s="490" t="s">
        <v>883</v>
      </c>
      <c r="P272" s="490" t="s">
        <v>883</v>
      </c>
      <c r="Q272" s="490" t="s">
        <v>883</v>
      </c>
      <c r="R272" s="401" t="s">
        <v>1094</v>
      </c>
      <c r="S272" s="401" t="s">
        <v>1094</v>
      </c>
      <c r="T272" s="401" t="s">
        <v>1094</v>
      </c>
      <c r="U272" s="490" t="s">
        <v>883</v>
      </c>
      <c r="V272" s="284">
        <f t="shared" si="31"/>
        <v>6.8062500000000004</v>
      </c>
      <c r="W272" s="299"/>
      <c r="X272" s="299"/>
      <c r="Y272" s="287">
        <f t="shared" si="35"/>
        <v>14.0625</v>
      </c>
      <c r="Z272" s="287">
        <v>225</v>
      </c>
      <c r="AA272" s="288">
        <v>14000</v>
      </c>
      <c r="AB272" s="261">
        <f t="shared" si="33"/>
        <v>0.32139577594123048</v>
      </c>
      <c r="AC272" s="261">
        <f t="shared" si="34"/>
        <v>5.1423324150596876</v>
      </c>
      <c r="AD272" s="282"/>
      <c r="AE272" s="290" t="s">
        <v>294</v>
      </c>
      <c r="AF272" s="291">
        <v>4</v>
      </c>
      <c r="AG272" s="292" t="s">
        <v>1034</v>
      </c>
      <c r="AH272" s="293" t="s">
        <v>946</v>
      </c>
    </row>
    <row r="273" spans="1:41" s="107" customFormat="1">
      <c r="A273" s="242" t="s">
        <v>853</v>
      </c>
      <c r="B273" s="282" t="s">
        <v>457</v>
      </c>
      <c r="C273" s="106" t="s">
        <v>797</v>
      </c>
      <c r="D273" s="491" t="s">
        <v>1094</v>
      </c>
      <c r="E273" s="490" t="s">
        <v>1094</v>
      </c>
      <c r="F273" s="490" t="s">
        <v>883</v>
      </c>
      <c r="G273" s="411" t="s">
        <v>1094</v>
      </c>
      <c r="H273" s="490" t="s">
        <v>1094</v>
      </c>
      <c r="I273" s="490" t="s">
        <v>883</v>
      </c>
      <c r="J273" s="490" t="s">
        <v>883</v>
      </c>
      <c r="K273" s="416">
        <f t="shared" si="32"/>
        <v>8.6956521739130441E-5</v>
      </c>
      <c r="L273" s="490" t="s">
        <v>883</v>
      </c>
      <c r="M273" s="401" t="s">
        <v>1094</v>
      </c>
      <c r="N273" s="401" t="s">
        <v>1094</v>
      </c>
      <c r="O273" s="490" t="s">
        <v>883</v>
      </c>
      <c r="P273" s="401" t="s">
        <v>1094</v>
      </c>
      <c r="Q273" s="490" t="s">
        <v>883</v>
      </c>
      <c r="R273" s="401" t="s">
        <v>1094</v>
      </c>
      <c r="S273" s="401" t="s">
        <v>1094</v>
      </c>
      <c r="T273" s="490" t="s">
        <v>883</v>
      </c>
      <c r="U273" s="490" t="s">
        <v>883</v>
      </c>
      <c r="V273" s="284">
        <f t="shared" si="31"/>
        <v>0.27619565217391306</v>
      </c>
      <c r="W273" s="299"/>
      <c r="X273" s="299"/>
      <c r="Y273" s="287">
        <f t="shared" si="35"/>
        <v>30</v>
      </c>
      <c r="Z273" s="287">
        <v>480</v>
      </c>
      <c r="AA273" s="288">
        <v>345000</v>
      </c>
      <c r="AB273" s="261">
        <f t="shared" si="33"/>
        <v>7.9201101928374653</v>
      </c>
      <c r="AC273" s="261">
        <f t="shared" si="34"/>
        <v>126.72176308539945</v>
      </c>
      <c r="AD273" s="282"/>
      <c r="AE273" s="290" t="s">
        <v>525</v>
      </c>
      <c r="AF273" s="291">
        <v>3</v>
      </c>
      <c r="AG273" s="292" t="s">
        <v>1035</v>
      </c>
      <c r="AH273" s="293" t="s">
        <v>1236</v>
      </c>
    </row>
    <row r="274" spans="1:41" s="107" customFormat="1">
      <c r="A274" s="242" t="s">
        <v>853</v>
      </c>
      <c r="B274" s="282" t="s">
        <v>458</v>
      </c>
      <c r="C274" s="121" t="s">
        <v>536</v>
      </c>
      <c r="D274" s="490" t="s">
        <v>883</v>
      </c>
      <c r="E274" s="490" t="s">
        <v>883</v>
      </c>
      <c r="F274" s="490" t="s">
        <v>1094</v>
      </c>
      <c r="G274" s="411" t="s">
        <v>1094</v>
      </c>
      <c r="H274" s="411" t="s">
        <v>1094</v>
      </c>
      <c r="I274" s="411" t="s">
        <v>1094</v>
      </c>
      <c r="J274" s="490" t="s">
        <v>883</v>
      </c>
      <c r="K274" s="416">
        <f t="shared" si="32"/>
        <v>2.4390243902439024E-3</v>
      </c>
      <c r="L274" s="490" t="s">
        <v>883</v>
      </c>
      <c r="M274" s="401" t="s">
        <v>1094</v>
      </c>
      <c r="N274" s="490" t="s">
        <v>883</v>
      </c>
      <c r="O274" s="401" t="s">
        <v>1094</v>
      </c>
      <c r="P274" s="401" t="s">
        <v>1094</v>
      </c>
      <c r="Q274" s="401" t="s">
        <v>1094</v>
      </c>
      <c r="R274" s="490" t="s">
        <v>883</v>
      </c>
      <c r="S274" s="401" t="s">
        <v>1094</v>
      </c>
      <c r="T274" s="490" t="s">
        <v>883</v>
      </c>
      <c r="U274" s="490" t="s">
        <v>883</v>
      </c>
      <c r="V274" s="284">
        <f t="shared" si="31"/>
        <v>1.1620426829268293</v>
      </c>
      <c r="W274" s="299"/>
      <c r="X274" s="299"/>
      <c r="Y274" s="287">
        <f t="shared" si="35"/>
        <v>200</v>
      </c>
      <c r="Z274" s="287">
        <v>3200</v>
      </c>
      <c r="AA274" s="288">
        <v>82000</v>
      </c>
      <c r="AB274" s="261">
        <f t="shared" si="33"/>
        <v>1.8824609733700643</v>
      </c>
      <c r="AC274" s="261">
        <f t="shared" si="34"/>
        <v>30.11937557392103</v>
      </c>
      <c r="AD274" s="282"/>
      <c r="AE274" s="290" t="s">
        <v>525</v>
      </c>
      <c r="AF274" s="291">
        <v>7</v>
      </c>
      <c r="AG274" s="292" t="s">
        <v>1034</v>
      </c>
      <c r="AH274" s="293" t="s">
        <v>1236</v>
      </c>
    </row>
    <row r="275" spans="1:41" s="107" customFormat="1">
      <c r="A275" s="242" t="s">
        <v>853</v>
      </c>
      <c r="B275" s="282" t="s">
        <v>459</v>
      </c>
      <c r="C275" s="122" t="s">
        <v>521</v>
      </c>
      <c r="D275" s="496" t="s">
        <v>1094</v>
      </c>
      <c r="E275" s="420" t="s">
        <v>1094</v>
      </c>
      <c r="F275" s="490" t="s">
        <v>883</v>
      </c>
      <c r="G275" s="411" t="s">
        <v>1094</v>
      </c>
      <c r="H275" s="411" t="s">
        <v>1094</v>
      </c>
      <c r="I275" s="490" t="s">
        <v>883</v>
      </c>
      <c r="J275" s="411" t="s">
        <v>1094</v>
      </c>
      <c r="K275" s="416">
        <f t="shared" si="32"/>
        <v>2.6667187500000002E-2</v>
      </c>
      <c r="L275" s="490" t="s">
        <v>883</v>
      </c>
      <c r="M275" s="401" t="s">
        <v>1094</v>
      </c>
      <c r="N275" s="490" t="s">
        <v>883</v>
      </c>
      <c r="O275" s="401" t="s">
        <v>1094</v>
      </c>
      <c r="P275" s="401" t="s">
        <v>1094</v>
      </c>
      <c r="Q275" s="401" t="s">
        <v>1094</v>
      </c>
      <c r="R275" s="490" t="s">
        <v>883</v>
      </c>
      <c r="S275" s="401" t="s">
        <v>1094</v>
      </c>
      <c r="T275" s="490" t="s">
        <v>883</v>
      </c>
      <c r="U275" s="490" t="s">
        <v>883</v>
      </c>
      <c r="V275" s="284">
        <f t="shared" si="31"/>
        <v>2.3821875000000001</v>
      </c>
      <c r="W275" s="299"/>
      <c r="X275" s="299"/>
      <c r="Y275" s="287">
        <f t="shared" si="35"/>
        <v>1066.6875</v>
      </c>
      <c r="Z275" s="287">
        <v>17067</v>
      </c>
      <c r="AA275" s="288">
        <v>40000</v>
      </c>
      <c r="AB275" s="261">
        <f t="shared" si="33"/>
        <v>0.91827364554637281</v>
      </c>
      <c r="AC275" s="261">
        <f t="shared" si="34"/>
        <v>14.692378328741965</v>
      </c>
      <c r="AD275" s="282"/>
      <c r="AE275" s="290" t="s">
        <v>292</v>
      </c>
      <c r="AF275" s="291">
        <v>7</v>
      </c>
      <c r="AG275" s="292" t="s">
        <v>1034</v>
      </c>
      <c r="AH275" s="293" t="s">
        <v>963</v>
      </c>
    </row>
    <row r="276" spans="1:41" s="107" customFormat="1">
      <c r="A276" s="529" t="s">
        <v>853</v>
      </c>
      <c r="B276" s="530" t="s">
        <v>11159</v>
      </c>
      <c r="C276" s="552" t="s">
        <v>5013</v>
      </c>
      <c r="D276" s="553" t="s">
        <v>883</v>
      </c>
      <c r="E276" s="547" t="s">
        <v>883</v>
      </c>
      <c r="F276" s="547" t="s">
        <v>1094</v>
      </c>
      <c r="G276" s="548" t="s">
        <v>883</v>
      </c>
      <c r="H276" s="548" t="s">
        <v>883</v>
      </c>
      <c r="I276" s="547" t="s">
        <v>1094</v>
      </c>
      <c r="J276" s="547" t="s">
        <v>883</v>
      </c>
      <c r="K276" s="533">
        <f t="shared" si="32"/>
        <v>7.4766355140186921E-5</v>
      </c>
      <c r="L276" s="547" t="s">
        <v>883</v>
      </c>
      <c r="M276" s="533" t="s">
        <v>883</v>
      </c>
      <c r="N276" s="533" t="s">
        <v>883</v>
      </c>
      <c r="O276" s="547" t="s">
        <v>883</v>
      </c>
      <c r="P276" s="533" t="s">
        <v>1094</v>
      </c>
      <c r="Q276" s="547" t="s">
        <v>1094</v>
      </c>
      <c r="R276" s="547" t="s">
        <v>883</v>
      </c>
      <c r="S276" s="533" t="s">
        <v>1094</v>
      </c>
      <c r="T276" s="547" t="s">
        <v>1094</v>
      </c>
      <c r="U276" s="547" t="s">
        <v>883</v>
      </c>
      <c r="V276" s="534">
        <f t="shared" si="31"/>
        <v>0.89053738317757003</v>
      </c>
      <c r="W276" s="535"/>
      <c r="X276" s="536"/>
      <c r="Y276" s="537">
        <v>8</v>
      </c>
      <c r="Z276" s="537">
        <v>120</v>
      </c>
      <c r="AA276" s="538">
        <v>107000</v>
      </c>
      <c r="AB276" s="516">
        <f t="shared" si="33"/>
        <v>2.4563820018365474</v>
      </c>
      <c r="AC276" s="516">
        <f t="shared" si="34"/>
        <v>39.302112029384759</v>
      </c>
      <c r="AD276" s="539"/>
      <c r="AE276" s="540"/>
      <c r="AF276" s="541">
        <v>6</v>
      </c>
      <c r="AG276" s="542" t="s">
        <v>1034</v>
      </c>
      <c r="AH276" s="543"/>
    </row>
    <row r="277" spans="1:41" s="209" customFormat="1">
      <c r="A277" s="242" t="s">
        <v>853</v>
      </c>
      <c r="B277" s="297" t="s">
        <v>1279</v>
      </c>
      <c r="C277" s="121" t="s">
        <v>770</v>
      </c>
      <c r="D277" s="490" t="s">
        <v>1094</v>
      </c>
      <c r="E277" s="490" t="s">
        <v>1094</v>
      </c>
      <c r="F277" s="490" t="s">
        <v>883</v>
      </c>
      <c r="G277" s="411" t="s">
        <v>1094</v>
      </c>
      <c r="H277" s="411" t="s">
        <v>1094</v>
      </c>
      <c r="I277" s="490" t="s">
        <v>883</v>
      </c>
      <c r="J277" s="490" t="s">
        <v>1094</v>
      </c>
      <c r="K277" s="416">
        <f t="shared" si="32"/>
        <v>4.0000000000000003E-5</v>
      </c>
      <c r="L277" s="490" t="s">
        <v>883</v>
      </c>
      <c r="M277" s="401" t="s">
        <v>1094</v>
      </c>
      <c r="N277" s="401" t="s">
        <v>1094</v>
      </c>
      <c r="O277" s="401" t="s">
        <v>1094</v>
      </c>
      <c r="P277" s="490" t="s">
        <v>883</v>
      </c>
      <c r="Q277" s="401" t="s">
        <v>1094</v>
      </c>
      <c r="R277" s="490" t="s">
        <v>883</v>
      </c>
      <c r="S277" s="401" t="s">
        <v>1094</v>
      </c>
      <c r="T277" s="490" t="s">
        <v>883</v>
      </c>
      <c r="U277" s="401" t="s">
        <v>1094</v>
      </c>
      <c r="V277" s="284">
        <f t="shared" ref="V277:V308" si="36">35/AC277</f>
        <v>3.1762499999999999E-2</v>
      </c>
      <c r="W277" s="299"/>
      <c r="X277" s="299"/>
      <c r="Y277" s="287">
        <f t="shared" ref="Y277:Y293" si="37">SUM(Z277/16)</f>
        <v>120</v>
      </c>
      <c r="Z277" s="287">
        <v>1920</v>
      </c>
      <c r="AA277" s="288">
        <v>3000000</v>
      </c>
      <c r="AB277" s="261">
        <f t="shared" si="33"/>
        <v>68.870523415977956</v>
      </c>
      <c r="AC277" s="261">
        <f t="shared" si="34"/>
        <v>1101.9283746556473</v>
      </c>
      <c r="AD277" s="282"/>
      <c r="AE277" s="290" t="s">
        <v>292</v>
      </c>
      <c r="AF277" s="291">
        <v>3</v>
      </c>
      <c r="AG277" s="292" t="s">
        <v>1036</v>
      </c>
      <c r="AH277" s="293" t="s">
        <v>946</v>
      </c>
      <c r="AI277" s="107"/>
      <c r="AJ277" s="107"/>
      <c r="AK277" s="107"/>
      <c r="AL277" s="107"/>
      <c r="AM277" s="107"/>
      <c r="AN277" s="107"/>
      <c r="AO277" s="107"/>
    </row>
    <row r="278" spans="1:41" s="209" customFormat="1">
      <c r="A278" s="242" t="s">
        <v>853</v>
      </c>
      <c r="B278" s="282" t="s">
        <v>460</v>
      </c>
      <c r="C278" s="121" t="s">
        <v>705</v>
      </c>
      <c r="D278" s="490" t="s">
        <v>1094</v>
      </c>
      <c r="E278" s="490" t="s">
        <v>1094</v>
      </c>
      <c r="F278" s="490" t="s">
        <v>883</v>
      </c>
      <c r="G278" s="411" t="s">
        <v>1094</v>
      </c>
      <c r="H278" s="411" t="s">
        <v>1094</v>
      </c>
      <c r="I278" s="490" t="s">
        <v>883</v>
      </c>
      <c r="J278" s="490" t="s">
        <v>1094</v>
      </c>
      <c r="K278" s="416">
        <f t="shared" si="32"/>
        <v>5.0000000000000001E-4</v>
      </c>
      <c r="L278" s="401" t="s">
        <v>1094</v>
      </c>
      <c r="M278" s="401" t="s">
        <v>1094</v>
      </c>
      <c r="N278" s="401" t="s">
        <v>1094</v>
      </c>
      <c r="O278" s="401" t="s">
        <v>1094</v>
      </c>
      <c r="P278" s="401" t="s">
        <v>1094</v>
      </c>
      <c r="Q278" s="401" t="s">
        <v>1094</v>
      </c>
      <c r="R278" s="401" t="s">
        <v>1094</v>
      </c>
      <c r="S278" s="401" t="s">
        <v>1094</v>
      </c>
      <c r="T278" s="401" t="s">
        <v>1094</v>
      </c>
      <c r="U278" s="401" t="s">
        <v>1094</v>
      </c>
      <c r="V278" s="284">
        <f t="shared" si="36"/>
        <v>1.9057500000000001</v>
      </c>
      <c r="W278" s="299"/>
      <c r="X278" s="299"/>
      <c r="Y278" s="287">
        <f t="shared" si="37"/>
        <v>25</v>
      </c>
      <c r="Z278" s="287">
        <v>400</v>
      </c>
      <c r="AA278" s="288">
        <v>50000</v>
      </c>
      <c r="AB278" s="261">
        <f t="shared" si="33"/>
        <v>1.1478420569329659</v>
      </c>
      <c r="AC278" s="261">
        <f t="shared" si="34"/>
        <v>18.365472910927455</v>
      </c>
      <c r="AD278" s="282"/>
      <c r="AE278" s="478" t="s">
        <v>11303</v>
      </c>
      <c r="AF278" s="291">
        <v>7</v>
      </c>
      <c r="AG278" s="292" t="s">
        <v>1034</v>
      </c>
      <c r="AH278" s="293" t="s">
        <v>1280</v>
      </c>
      <c r="AI278" s="107"/>
      <c r="AJ278" s="107"/>
      <c r="AK278" s="107"/>
      <c r="AL278" s="219"/>
      <c r="AM278" s="107"/>
      <c r="AN278" s="107"/>
      <c r="AO278" s="107"/>
    </row>
    <row r="279" spans="1:41" s="107" customFormat="1">
      <c r="A279" s="242" t="s">
        <v>853</v>
      </c>
      <c r="B279" s="282" t="s">
        <v>461</v>
      </c>
      <c r="C279" s="122" t="s">
        <v>522</v>
      </c>
      <c r="D279" s="490" t="s">
        <v>883</v>
      </c>
      <c r="E279" s="496" t="s">
        <v>1094</v>
      </c>
      <c r="F279" s="490" t="s">
        <v>883</v>
      </c>
      <c r="G279" s="490" t="s">
        <v>883</v>
      </c>
      <c r="H279" s="490" t="s">
        <v>883</v>
      </c>
      <c r="I279" s="490" t="s">
        <v>883</v>
      </c>
      <c r="J279" s="411" t="s">
        <v>1094</v>
      </c>
      <c r="K279" s="416">
        <f t="shared" si="32"/>
        <v>7.9166666666666673E-3</v>
      </c>
      <c r="L279" s="401" t="s">
        <v>1094</v>
      </c>
      <c r="M279" s="401" t="s">
        <v>1094</v>
      </c>
      <c r="N279" s="401" t="s">
        <v>1094</v>
      </c>
      <c r="O279" s="401" t="s">
        <v>1094</v>
      </c>
      <c r="P279" s="401" t="s">
        <v>1094</v>
      </c>
      <c r="Q279" s="401" t="s">
        <v>1094</v>
      </c>
      <c r="R279" s="401" t="s">
        <v>1094</v>
      </c>
      <c r="S279" s="401" t="s">
        <v>1094</v>
      </c>
      <c r="T279" s="401" t="s">
        <v>1094</v>
      </c>
      <c r="U279" s="401" t="s">
        <v>1094</v>
      </c>
      <c r="V279" s="284">
        <f t="shared" si="36"/>
        <v>3.9703124999999999</v>
      </c>
      <c r="W279" s="299"/>
      <c r="X279" s="299"/>
      <c r="Y279" s="287">
        <f t="shared" si="37"/>
        <v>190</v>
      </c>
      <c r="Z279" s="287">
        <v>3040</v>
      </c>
      <c r="AA279" s="288">
        <v>24000</v>
      </c>
      <c r="AB279" s="261">
        <f t="shared" si="33"/>
        <v>0.55096418732782371</v>
      </c>
      <c r="AC279" s="261">
        <f t="shared" si="34"/>
        <v>8.8154269972451793</v>
      </c>
      <c r="AD279" s="282"/>
      <c r="AE279" s="290" t="s">
        <v>292</v>
      </c>
      <c r="AF279" s="291">
        <v>4</v>
      </c>
      <c r="AG279" s="292" t="s">
        <v>1034</v>
      </c>
      <c r="AH279" s="377" t="s">
        <v>1301</v>
      </c>
    </row>
    <row r="280" spans="1:41" s="107" customFormat="1">
      <c r="A280" s="242" t="s">
        <v>853</v>
      </c>
      <c r="B280" s="292" t="s">
        <v>2</v>
      </c>
      <c r="C280" s="121" t="s">
        <v>598</v>
      </c>
      <c r="D280" s="490" t="s">
        <v>883</v>
      </c>
      <c r="E280" s="490" t="s">
        <v>1094</v>
      </c>
      <c r="F280" s="490" t="s">
        <v>883</v>
      </c>
      <c r="G280" s="490" t="s">
        <v>883</v>
      </c>
      <c r="H280" s="411" t="s">
        <v>1094</v>
      </c>
      <c r="I280" s="490" t="s">
        <v>883</v>
      </c>
      <c r="J280" s="411" t="s">
        <v>1094</v>
      </c>
      <c r="K280" s="416">
        <f t="shared" si="32"/>
        <v>1.3392857142857142E-2</v>
      </c>
      <c r="L280" s="490" t="s">
        <v>883</v>
      </c>
      <c r="M280" s="401" t="s">
        <v>1094</v>
      </c>
      <c r="N280" s="401" t="s">
        <v>1094</v>
      </c>
      <c r="O280" s="401" t="s">
        <v>1094</v>
      </c>
      <c r="P280" s="490" t="s">
        <v>883</v>
      </c>
      <c r="Q280" s="401" t="s">
        <v>1094</v>
      </c>
      <c r="R280" s="401" t="s">
        <v>1094</v>
      </c>
      <c r="S280" s="401" t="s">
        <v>1094</v>
      </c>
      <c r="T280" s="490" t="s">
        <v>883</v>
      </c>
      <c r="U280" s="401" t="s">
        <v>1094</v>
      </c>
      <c r="V280" s="284">
        <f t="shared" si="36"/>
        <v>34.03125</v>
      </c>
      <c r="W280" s="299"/>
      <c r="X280" s="299"/>
      <c r="Y280" s="287">
        <f t="shared" si="37"/>
        <v>37.5</v>
      </c>
      <c r="Z280" s="287">
        <v>600</v>
      </c>
      <c r="AA280" s="288">
        <v>2800</v>
      </c>
      <c r="AB280" s="261">
        <f t="shared" si="33"/>
        <v>6.4279155188246104E-2</v>
      </c>
      <c r="AC280" s="261">
        <f t="shared" si="34"/>
        <v>1.0284664830119377</v>
      </c>
      <c r="AD280" s="282"/>
      <c r="AE280" s="290" t="s">
        <v>292</v>
      </c>
      <c r="AF280" s="291">
        <v>3</v>
      </c>
      <c r="AG280" s="292" t="s">
        <v>1034</v>
      </c>
      <c r="AH280" s="293" t="s">
        <v>963</v>
      </c>
      <c r="AI280" s="209"/>
      <c r="AJ280" s="209"/>
      <c r="AK280" s="209"/>
      <c r="AL280" s="209"/>
      <c r="AM280" s="209"/>
      <c r="AN280" s="209"/>
      <c r="AO280" s="209"/>
    </row>
    <row r="281" spans="1:41" s="107" customFormat="1">
      <c r="A281" s="242" t="s">
        <v>853</v>
      </c>
      <c r="B281" s="282" t="s">
        <v>462</v>
      </c>
      <c r="C281" s="121" t="s">
        <v>624</v>
      </c>
      <c r="D281" s="490" t="s">
        <v>883</v>
      </c>
      <c r="E281" s="490" t="s">
        <v>883</v>
      </c>
      <c r="F281" s="490" t="s">
        <v>1094</v>
      </c>
      <c r="G281" s="411" t="s">
        <v>1094</v>
      </c>
      <c r="H281" s="411" t="s">
        <v>1094</v>
      </c>
      <c r="I281" s="411" t="s">
        <v>1094</v>
      </c>
      <c r="J281" s="490" t="s">
        <v>883</v>
      </c>
      <c r="K281" s="416">
        <f t="shared" si="32"/>
        <v>1.5625000000000001E-3</v>
      </c>
      <c r="L281" s="401" t="s">
        <v>1094</v>
      </c>
      <c r="M281" s="401" t="s">
        <v>1094</v>
      </c>
      <c r="N281" s="401" t="s">
        <v>1094</v>
      </c>
      <c r="O281" s="401" t="s">
        <v>1094</v>
      </c>
      <c r="P281" s="401" t="s">
        <v>1094</v>
      </c>
      <c r="Q281" s="401" t="s">
        <v>1094</v>
      </c>
      <c r="R281" s="401" t="s">
        <v>1094</v>
      </c>
      <c r="S281" s="401" t="s">
        <v>1094</v>
      </c>
      <c r="T281" s="401" t="s">
        <v>1094</v>
      </c>
      <c r="U281" s="401" t="s">
        <v>1094</v>
      </c>
      <c r="V281" s="284">
        <f t="shared" si="36"/>
        <v>7.9406249999999998</v>
      </c>
      <c r="W281" s="299"/>
      <c r="X281" s="299"/>
      <c r="Y281" s="287">
        <f t="shared" si="37"/>
        <v>18.75</v>
      </c>
      <c r="Z281" s="287">
        <v>300</v>
      </c>
      <c r="AA281" s="288">
        <v>12000</v>
      </c>
      <c r="AB281" s="261">
        <f t="shared" si="33"/>
        <v>0.27548209366391185</v>
      </c>
      <c r="AC281" s="261">
        <f t="shared" si="34"/>
        <v>4.4077134986225897</v>
      </c>
      <c r="AD281" s="282"/>
      <c r="AE281" s="290" t="s">
        <v>294</v>
      </c>
      <c r="AF281" s="291">
        <v>7</v>
      </c>
      <c r="AG281" s="292" t="s">
        <v>1035</v>
      </c>
      <c r="AH281" s="293" t="s">
        <v>1233</v>
      </c>
    </row>
    <row r="282" spans="1:41" s="107" customFormat="1">
      <c r="A282" s="242" t="s">
        <v>853</v>
      </c>
      <c r="B282" s="282" t="s">
        <v>463</v>
      </c>
      <c r="C282" s="121" t="s">
        <v>692</v>
      </c>
      <c r="D282" s="490" t="s">
        <v>883</v>
      </c>
      <c r="E282" s="490" t="s">
        <v>883</v>
      </c>
      <c r="F282" s="490" t="s">
        <v>1094</v>
      </c>
      <c r="G282" s="411" t="s">
        <v>1094</v>
      </c>
      <c r="H282" s="490" t="s">
        <v>883</v>
      </c>
      <c r="I282" s="411" t="s">
        <v>1094</v>
      </c>
      <c r="J282" s="490" t="s">
        <v>883</v>
      </c>
      <c r="K282" s="416">
        <f t="shared" si="32"/>
        <v>1.0817307692307693E-4</v>
      </c>
      <c r="L282" s="401" t="s">
        <v>1094</v>
      </c>
      <c r="M282" s="401" t="s">
        <v>1094</v>
      </c>
      <c r="N282" s="401" t="s">
        <v>1094</v>
      </c>
      <c r="O282" s="401" t="s">
        <v>1094</v>
      </c>
      <c r="P282" s="401" t="s">
        <v>1094</v>
      </c>
      <c r="Q282" s="401" t="s">
        <v>1094</v>
      </c>
      <c r="R282" s="401" t="s">
        <v>1094</v>
      </c>
      <c r="S282" s="401" t="s">
        <v>1094</v>
      </c>
      <c r="T282" s="401" t="s">
        <v>1094</v>
      </c>
      <c r="U282" s="401" t="s">
        <v>1094</v>
      </c>
      <c r="V282" s="284">
        <f t="shared" si="36"/>
        <v>0.73298076923076927</v>
      </c>
      <c r="W282" s="299"/>
      <c r="X282" s="299"/>
      <c r="Y282" s="287">
        <f t="shared" si="37"/>
        <v>14.0625</v>
      </c>
      <c r="Z282" s="287">
        <v>225</v>
      </c>
      <c r="AA282" s="288">
        <v>130000</v>
      </c>
      <c r="AB282" s="261">
        <f t="shared" si="33"/>
        <v>2.9843893480257115</v>
      </c>
      <c r="AC282" s="261">
        <f t="shared" si="34"/>
        <v>47.750229568411385</v>
      </c>
      <c r="AD282" s="282"/>
      <c r="AE282" s="290" t="s">
        <v>294</v>
      </c>
      <c r="AF282" s="291">
        <v>4</v>
      </c>
      <c r="AG282" s="292" t="s">
        <v>1034</v>
      </c>
      <c r="AH282" s="293" t="s">
        <v>1240</v>
      </c>
    </row>
    <row r="283" spans="1:41" s="107" customFormat="1">
      <c r="A283" s="242" t="s">
        <v>853</v>
      </c>
      <c r="B283" s="282" t="s">
        <v>464</v>
      </c>
      <c r="C283" s="121" t="s">
        <v>613</v>
      </c>
      <c r="D283" s="495" t="s">
        <v>883</v>
      </c>
      <c r="E283" s="495" t="s">
        <v>883</v>
      </c>
      <c r="F283" s="495" t="s">
        <v>1094</v>
      </c>
      <c r="G283" s="412" t="s">
        <v>883</v>
      </c>
      <c r="H283" s="495" t="s">
        <v>883</v>
      </c>
      <c r="I283" s="412" t="s">
        <v>1094</v>
      </c>
      <c r="J283" s="495" t="s">
        <v>883</v>
      </c>
      <c r="K283" s="416">
        <f t="shared" si="32"/>
        <v>7.8125000000000002E-5</v>
      </c>
      <c r="L283" s="401" t="s">
        <v>1094</v>
      </c>
      <c r="M283" s="401" t="s">
        <v>1094</v>
      </c>
      <c r="N283" s="401" t="s">
        <v>1094</v>
      </c>
      <c r="O283" s="401" t="s">
        <v>1094</v>
      </c>
      <c r="P283" s="401" t="s">
        <v>1094</v>
      </c>
      <c r="Q283" s="401" t="s">
        <v>1094</v>
      </c>
      <c r="R283" s="401" t="s">
        <v>1094</v>
      </c>
      <c r="S283" s="401" t="s">
        <v>1094</v>
      </c>
      <c r="T283" s="401" t="s">
        <v>1094</v>
      </c>
      <c r="U283" s="401" t="s">
        <v>1094</v>
      </c>
      <c r="V283" s="284">
        <f t="shared" si="36"/>
        <v>1.588125</v>
      </c>
      <c r="W283" s="299"/>
      <c r="X283" s="299"/>
      <c r="Y283" s="287">
        <f t="shared" si="37"/>
        <v>4.6875</v>
      </c>
      <c r="Z283" s="315">
        <v>75</v>
      </c>
      <c r="AA283" s="288">
        <v>60000</v>
      </c>
      <c r="AB283" s="261">
        <f t="shared" si="33"/>
        <v>1.3774104683195592</v>
      </c>
      <c r="AC283" s="261">
        <f t="shared" si="34"/>
        <v>22.038567493112946</v>
      </c>
      <c r="AD283" s="282"/>
      <c r="AE283" s="290" t="s">
        <v>294</v>
      </c>
      <c r="AF283" s="291">
        <v>3</v>
      </c>
      <c r="AG283" s="316" t="s">
        <v>1034</v>
      </c>
      <c r="AH283" s="317" t="s">
        <v>947</v>
      </c>
    </row>
    <row r="284" spans="1:41" s="107" customFormat="1">
      <c r="A284" s="242" t="s">
        <v>853</v>
      </c>
      <c r="B284" s="282" t="s">
        <v>465</v>
      </c>
      <c r="C284" s="108" t="s">
        <v>243</v>
      </c>
      <c r="D284" s="490" t="s">
        <v>883</v>
      </c>
      <c r="E284" s="497" t="s">
        <v>883</v>
      </c>
      <c r="F284" s="497" t="s">
        <v>1094</v>
      </c>
      <c r="G284" s="411" t="s">
        <v>1094</v>
      </c>
      <c r="H284" s="411" t="s">
        <v>1094</v>
      </c>
      <c r="I284" s="411" t="s">
        <v>1094</v>
      </c>
      <c r="J284" s="490" t="s">
        <v>883</v>
      </c>
      <c r="K284" s="416">
        <f t="shared" si="32"/>
        <v>5.1282051282051282E-3</v>
      </c>
      <c r="L284" s="401" t="s">
        <v>1094</v>
      </c>
      <c r="M284" s="401" t="s">
        <v>1094</v>
      </c>
      <c r="N284" s="401" t="s">
        <v>1094</v>
      </c>
      <c r="O284" s="401" t="s">
        <v>1094</v>
      </c>
      <c r="P284" s="401" t="s">
        <v>1094</v>
      </c>
      <c r="Q284" s="401" t="s">
        <v>1094</v>
      </c>
      <c r="R284" s="401" t="s">
        <v>1094</v>
      </c>
      <c r="S284" s="401" t="s">
        <v>1094</v>
      </c>
      <c r="T284" s="401" t="s">
        <v>1094</v>
      </c>
      <c r="U284" s="401" t="s">
        <v>1094</v>
      </c>
      <c r="V284" s="284">
        <f t="shared" si="36"/>
        <v>12.216346153846153</v>
      </c>
      <c r="W284" s="299"/>
      <c r="X284" s="299"/>
      <c r="Y284" s="287">
        <f t="shared" si="37"/>
        <v>40</v>
      </c>
      <c r="Z284" s="287">
        <v>640</v>
      </c>
      <c r="AA284" s="288">
        <v>7800</v>
      </c>
      <c r="AB284" s="261">
        <f t="shared" si="33"/>
        <v>0.1790633608815427</v>
      </c>
      <c r="AC284" s="261">
        <f t="shared" si="34"/>
        <v>2.8650137741046833</v>
      </c>
      <c r="AD284" s="282"/>
      <c r="AE284" s="290" t="s">
        <v>294</v>
      </c>
      <c r="AF284" s="291">
        <v>4</v>
      </c>
      <c r="AG284" s="292" t="s">
        <v>1036</v>
      </c>
      <c r="AH284" s="293" t="s">
        <v>1236</v>
      </c>
      <c r="AL284" s="219"/>
    </row>
    <row r="285" spans="1:41" s="107" customFormat="1">
      <c r="A285" s="242" t="s">
        <v>853</v>
      </c>
      <c r="B285" s="282" t="s">
        <v>466</v>
      </c>
      <c r="C285" s="108" t="s">
        <v>234</v>
      </c>
      <c r="D285" s="497" t="s">
        <v>1094</v>
      </c>
      <c r="E285" s="490" t="s">
        <v>1094</v>
      </c>
      <c r="F285" s="490" t="s">
        <v>883</v>
      </c>
      <c r="G285" s="411" t="s">
        <v>1094</v>
      </c>
      <c r="H285" s="411" t="s">
        <v>1094</v>
      </c>
      <c r="I285" s="490" t="s">
        <v>883</v>
      </c>
      <c r="J285" s="490" t="s">
        <v>1094</v>
      </c>
      <c r="K285" s="416">
        <f t="shared" si="32"/>
        <v>2.5000000000000001E-4</v>
      </c>
      <c r="L285" s="490" t="s">
        <v>883</v>
      </c>
      <c r="M285" s="401" t="s">
        <v>1094</v>
      </c>
      <c r="N285" s="401" t="s">
        <v>1094</v>
      </c>
      <c r="O285" s="401" t="s">
        <v>1094</v>
      </c>
      <c r="P285" s="490" t="s">
        <v>883</v>
      </c>
      <c r="Q285" s="490" t="s">
        <v>883</v>
      </c>
      <c r="R285" s="490" t="s">
        <v>883</v>
      </c>
      <c r="S285" s="401" t="s">
        <v>1094</v>
      </c>
      <c r="T285" s="490" t="s">
        <v>883</v>
      </c>
      <c r="U285" s="490" t="s">
        <v>883</v>
      </c>
      <c r="V285" s="284">
        <f t="shared" si="36"/>
        <v>1.1910937500000001</v>
      </c>
      <c r="W285" s="299"/>
      <c r="X285" s="299"/>
      <c r="Y285" s="287">
        <f t="shared" si="37"/>
        <v>20</v>
      </c>
      <c r="Z285" s="287">
        <v>320</v>
      </c>
      <c r="AA285" s="288">
        <v>80000</v>
      </c>
      <c r="AB285" s="261">
        <f t="shared" si="33"/>
        <v>1.8365472910927456</v>
      </c>
      <c r="AC285" s="261">
        <f t="shared" si="34"/>
        <v>29.38475665748393</v>
      </c>
      <c r="AD285" s="282"/>
      <c r="AE285" s="290" t="s">
        <v>525</v>
      </c>
      <c r="AF285" s="291">
        <v>5</v>
      </c>
      <c r="AG285" s="292" t="s">
        <v>1034</v>
      </c>
      <c r="AH285" s="293" t="s">
        <v>956</v>
      </c>
    </row>
    <row r="286" spans="1:41" s="107" customFormat="1">
      <c r="A286" s="242" t="s">
        <v>853</v>
      </c>
      <c r="B286" s="282" t="s">
        <v>467</v>
      </c>
      <c r="C286" s="106" t="s">
        <v>599</v>
      </c>
      <c r="D286" s="491" t="s">
        <v>1094</v>
      </c>
      <c r="E286" s="490" t="s">
        <v>883</v>
      </c>
      <c r="F286" s="490" t="s">
        <v>883</v>
      </c>
      <c r="G286" s="411" t="s">
        <v>1094</v>
      </c>
      <c r="H286" s="411" t="s">
        <v>1094</v>
      </c>
      <c r="I286" s="490" t="s">
        <v>883</v>
      </c>
      <c r="J286" s="490" t="s">
        <v>883</v>
      </c>
      <c r="K286" s="416">
        <f t="shared" si="32"/>
        <v>1.3392857142857143E-3</v>
      </c>
      <c r="L286" s="401" t="s">
        <v>1094</v>
      </c>
      <c r="M286" s="401" t="s">
        <v>1094</v>
      </c>
      <c r="N286" s="401" t="s">
        <v>1094</v>
      </c>
      <c r="O286" s="401" t="s">
        <v>1094</v>
      </c>
      <c r="P286" s="401" t="s">
        <v>1094</v>
      </c>
      <c r="Q286" s="401" t="s">
        <v>1094</v>
      </c>
      <c r="R286" s="401" t="s">
        <v>1094</v>
      </c>
      <c r="S286" s="401" t="s">
        <v>1094</v>
      </c>
      <c r="T286" s="401" t="s">
        <v>1094</v>
      </c>
      <c r="U286" s="401" t="s">
        <v>1094</v>
      </c>
      <c r="V286" s="284">
        <f t="shared" si="36"/>
        <v>1.7015625000000001</v>
      </c>
      <c r="W286" s="299"/>
      <c r="X286" s="299"/>
      <c r="Y286" s="287">
        <f t="shared" si="37"/>
        <v>75</v>
      </c>
      <c r="Z286" s="287">
        <v>1200</v>
      </c>
      <c r="AA286" s="288">
        <v>56000</v>
      </c>
      <c r="AB286" s="261">
        <f t="shared" si="33"/>
        <v>1.2855831037649219</v>
      </c>
      <c r="AC286" s="261">
        <f t="shared" si="34"/>
        <v>20.569329660238751</v>
      </c>
      <c r="AD286" s="282"/>
      <c r="AE286" s="290" t="s">
        <v>293</v>
      </c>
      <c r="AF286" s="291">
        <v>10</v>
      </c>
      <c r="AG286" s="292" t="s">
        <v>1034</v>
      </c>
      <c r="AH286" s="293" t="s">
        <v>946</v>
      </c>
    </row>
    <row r="287" spans="1:41" s="107" customFormat="1">
      <c r="A287" s="242" t="s">
        <v>853</v>
      </c>
      <c r="B287" s="282" t="s">
        <v>468</v>
      </c>
      <c r="C287" s="121" t="s">
        <v>767</v>
      </c>
      <c r="D287" s="490" t="s">
        <v>883</v>
      </c>
      <c r="E287" s="490" t="s">
        <v>1094</v>
      </c>
      <c r="F287" s="490" t="s">
        <v>883</v>
      </c>
      <c r="G287" s="411" t="s">
        <v>1094</v>
      </c>
      <c r="H287" s="490" t="s">
        <v>1094</v>
      </c>
      <c r="I287" s="490" t="s">
        <v>883</v>
      </c>
      <c r="J287" s="490" t="s">
        <v>883</v>
      </c>
      <c r="K287" s="416">
        <f t="shared" si="32"/>
        <v>2.7777777777777779E-3</v>
      </c>
      <c r="L287" s="490" t="s">
        <v>883</v>
      </c>
      <c r="M287" s="401" t="s">
        <v>1094</v>
      </c>
      <c r="N287" s="490" t="s">
        <v>883</v>
      </c>
      <c r="O287" s="490" t="s">
        <v>883</v>
      </c>
      <c r="P287" s="490" t="s">
        <v>883</v>
      </c>
      <c r="Q287" s="490" t="s">
        <v>883</v>
      </c>
      <c r="R287" s="490" t="s">
        <v>883</v>
      </c>
      <c r="S287" s="490" t="s">
        <v>883</v>
      </c>
      <c r="T287" s="490" t="s">
        <v>883</v>
      </c>
      <c r="U287" s="401" t="s">
        <v>1094</v>
      </c>
      <c r="V287" s="284">
        <f t="shared" si="36"/>
        <v>10.5875</v>
      </c>
      <c r="W287" s="299"/>
      <c r="X287" s="299"/>
      <c r="Y287" s="287">
        <f t="shared" si="37"/>
        <v>25</v>
      </c>
      <c r="Z287" s="287">
        <v>400</v>
      </c>
      <c r="AA287" s="288">
        <v>9000</v>
      </c>
      <c r="AB287" s="261">
        <f t="shared" si="33"/>
        <v>0.20661157024793389</v>
      </c>
      <c r="AC287" s="261">
        <f t="shared" si="34"/>
        <v>3.3057851239669422</v>
      </c>
      <c r="AD287" s="282"/>
      <c r="AE287" s="290" t="s">
        <v>292</v>
      </c>
      <c r="AF287" s="291">
        <v>4</v>
      </c>
      <c r="AG287" s="292" t="s">
        <v>1034</v>
      </c>
      <c r="AH287" s="320" t="s">
        <v>977</v>
      </c>
    </row>
    <row r="288" spans="1:41" s="107" customFormat="1">
      <c r="A288" s="242" t="s">
        <v>853</v>
      </c>
      <c r="B288" s="282" t="s">
        <v>469</v>
      </c>
      <c r="C288" s="121" t="s">
        <v>666</v>
      </c>
      <c r="D288" s="490" t="s">
        <v>1094</v>
      </c>
      <c r="E288" s="490" t="s">
        <v>1094</v>
      </c>
      <c r="F288" s="490" t="s">
        <v>883</v>
      </c>
      <c r="G288" s="411" t="s">
        <v>1094</v>
      </c>
      <c r="H288" s="411" t="s">
        <v>1094</v>
      </c>
      <c r="I288" s="490" t="s">
        <v>883</v>
      </c>
      <c r="J288" s="490" t="s">
        <v>883</v>
      </c>
      <c r="K288" s="416">
        <f t="shared" si="32"/>
        <v>2.0089285714285712E-3</v>
      </c>
      <c r="L288" s="490" t="s">
        <v>883</v>
      </c>
      <c r="M288" s="401" t="s">
        <v>1094</v>
      </c>
      <c r="N288" s="401" t="s">
        <v>1094</v>
      </c>
      <c r="O288" s="490" t="s">
        <v>883</v>
      </c>
      <c r="P288" s="401" t="s">
        <v>1094</v>
      </c>
      <c r="Q288" s="490" t="s">
        <v>883</v>
      </c>
      <c r="R288" s="490" t="s">
        <v>883</v>
      </c>
      <c r="S288" s="401" t="s">
        <v>1094</v>
      </c>
      <c r="T288" s="490" t="s">
        <v>883</v>
      </c>
      <c r="U288" s="490" t="s">
        <v>883</v>
      </c>
      <c r="V288" s="284">
        <f t="shared" si="36"/>
        <v>6.8062500000000004</v>
      </c>
      <c r="W288" s="299"/>
      <c r="X288" s="299"/>
      <c r="Y288" s="287">
        <f t="shared" si="37"/>
        <v>28.125</v>
      </c>
      <c r="Z288" s="287">
        <v>450</v>
      </c>
      <c r="AA288" s="288">
        <v>14000</v>
      </c>
      <c r="AB288" s="261">
        <f t="shared" si="33"/>
        <v>0.32139577594123048</v>
      </c>
      <c r="AC288" s="261">
        <f t="shared" si="34"/>
        <v>5.1423324150596876</v>
      </c>
      <c r="AD288" s="282"/>
      <c r="AE288" s="290" t="s">
        <v>294</v>
      </c>
      <c r="AF288" s="291">
        <v>8</v>
      </c>
      <c r="AG288" s="292" t="s">
        <v>1034</v>
      </c>
      <c r="AH288" s="293" t="s">
        <v>960</v>
      </c>
    </row>
    <row r="289" spans="1:41" s="107" customFormat="1">
      <c r="A289" s="242" t="s">
        <v>853</v>
      </c>
      <c r="B289" s="282" t="s">
        <v>470</v>
      </c>
      <c r="C289" s="108" t="s">
        <v>612</v>
      </c>
      <c r="D289" s="497" t="s">
        <v>1094</v>
      </c>
      <c r="E289" s="497" t="s">
        <v>1094</v>
      </c>
      <c r="F289" s="490" t="s">
        <v>883</v>
      </c>
      <c r="G289" s="411" t="s">
        <v>1094</v>
      </c>
      <c r="H289" s="490" t="s">
        <v>1094</v>
      </c>
      <c r="I289" s="490" t="s">
        <v>883</v>
      </c>
      <c r="J289" s="490" t="s">
        <v>883</v>
      </c>
      <c r="K289" s="416">
        <f t="shared" si="32"/>
        <v>2.1037868162692847E-5</v>
      </c>
      <c r="L289" s="401" t="s">
        <v>1094</v>
      </c>
      <c r="M289" s="401" t="s">
        <v>1094</v>
      </c>
      <c r="N289" s="401" t="s">
        <v>1094</v>
      </c>
      <c r="O289" s="401" t="s">
        <v>1094</v>
      </c>
      <c r="P289" s="401" t="s">
        <v>1094</v>
      </c>
      <c r="Q289" s="401" t="s">
        <v>1094</v>
      </c>
      <c r="R289" s="401" t="s">
        <v>1094</v>
      </c>
      <c r="S289" s="401" t="s">
        <v>1094</v>
      </c>
      <c r="T289" s="401" t="s">
        <v>1094</v>
      </c>
      <c r="U289" s="401" t="s">
        <v>1094</v>
      </c>
      <c r="V289" s="284">
        <f t="shared" si="36"/>
        <v>0.53457223001402521</v>
      </c>
      <c r="W289" s="299"/>
      <c r="X289" s="299"/>
      <c r="Y289" s="287">
        <f t="shared" si="37"/>
        <v>3.75</v>
      </c>
      <c r="Z289" s="287">
        <v>60</v>
      </c>
      <c r="AA289" s="288">
        <v>178250</v>
      </c>
      <c r="AB289" s="261">
        <f t="shared" si="33"/>
        <v>4.0920569329660239</v>
      </c>
      <c r="AC289" s="261">
        <f t="shared" si="34"/>
        <v>65.472910927456383</v>
      </c>
      <c r="AD289" s="282"/>
      <c r="AE289" s="322" t="s">
        <v>863</v>
      </c>
      <c r="AF289" s="291">
        <v>0</v>
      </c>
      <c r="AG289" s="292" t="s">
        <v>1034</v>
      </c>
      <c r="AH289" s="323"/>
    </row>
    <row r="290" spans="1:41" s="107" customFormat="1">
      <c r="A290" s="242" t="s">
        <v>853</v>
      </c>
      <c r="B290" s="282" t="s">
        <v>471</v>
      </c>
      <c r="C290" s="106" t="s">
        <v>814</v>
      </c>
      <c r="D290" s="491" t="s">
        <v>1094</v>
      </c>
      <c r="E290" s="490" t="s">
        <v>883</v>
      </c>
      <c r="F290" s="490" t="s">
        <v>883</v>
      </c>
      <c r="G290" s="411" t="s">
        <v>883</v>
      </c>
      <c r="H290" s="411" t="s">
        <v>1094</v>
      </c>
      <c r="I290" s="490" t="s">
        <v>883</v>
      </c>
      <c r="J290" s="411" t="s">
        <v>1094</v>
      </c>
      <c r="K290" s="416">
        <f t="shared" si="32"/>
        <v>2.7777777777777778E-4</v>
      </c>
      <c r="L290" s="490" t="s">
        <v>883</v>
      </c>
      <c r="M290" s="401" t="s">
        <v>1094</v>
      </c>
      <c r="N290" s="401" t="s">
        <v>1094</v>
      </c>
      <c r="O290" s="401" t="s">
        <v>1094</v>
      </c>
      <c r="P290" s="401" t="s">
        <v>1094</v>
      </c>
      <c r="Q290" s="490" t="s">
        <v>883</v>
      </c>
      <c r="R290" s="401" t="s">
        <v>1094</v>
      </c>
      <c r="S290" s="401" t="s">
        <v>1094</v>
      </c>
      <c r="T290" s="401" t="s">
        <v>1094</v>
      </c>
      <c r="U290" s="401" t="s">
        <v>1094</v>
      </c>
      <c r="V290" s="284">
        <f t="shared" si="36"/>
        <v>0.70583333333333331</v>
      </c>
      <c r="W290" s="299"/>
      <c r="X290" s="299"/>
      <c r="Y290" s="287">
        <f t="shared" si="37"/>
        <v>37.5</v>
      </c>
      <c r="Z290" s="287">
        <v>600</v>
      </c>
      <c r="AA290" s="288">
        <v>135000</v>
      </c>
      <c r="AB290" s="261">
        <f t="shared" si="33"/>
        <v>3.0991735537190084</v>
      </c>
      <c r="AC290" s="261">
        <f t="shared" si="34"/>
        <v>49.586776859504134</v>
      </c>
      <c r="AD290" s="282"/>
      <c r="AE290" s="290" t="s">
        <v>294</v>
      </c>
      <c r="AF290" s="291">
        <v>6</v>
      </c>
      <c r="AG290" s="292" t="s">
        <v>1034</v>
      </c>
      <c r="AH290" s="293" t="s">
        <v>1236</v>
      </c>
    </row>
    <row r="291" spans="1:41" s="107" customFormat="1">
      <c r="A291" s="242" t="s">
        <v>853</v>
      </c>
      <c r="B291" s="282" t="s">
        <v>472</v>
      </c>
      <c r="C291" s="108" t="s">
        <v>784</v>
      </c>
      <c r="D291" s="497" t="s">
        <v>883</v>
      </c>
      <c r="E291" s="490" t="s">
        <v>1094</v>
      </c>
      <c r="F291" s="490" t="s">
        <v>1094</v>
      </c>
      <c r="G291" s="490" t="s">
        <v>883</v>
      </c>
      <c r="H291" s="490" t="s">
        <v>1094</v>
      </c>
      <c r="I291" s="490" t="s">
        <v>883</v>
      </c>
      <c r="J291" s="411" t="s">
        <v>1094</v>
      </c>
      <c r="K291" s="416">
        <f t="shared" si="32"/>
        <v>1.5384615384615385E-2</v>
      </c>
      <c r="L291" s="490" t="s">
        <v>883</v>
      </c>
      <c r="M291" s="401" t="s">
        <v>1094</v>
      </c>
      <c r="N291" s="401" t="s">
        <v>1094</v>
      </c>
      <c r="O291" s="401" t="s">
        <v>1094</v>
      </c>
      <c r="P291" s="401" t="s">
        <v>1094</v>
      </c>
      <c r="Q291" s="490" t="s">
        <v>883</v>
      </c>
      <c r="R291" s="401" t="s">
        <v>1094</v>
      </c>
      <c r="S291" s="401" t="s">
        <v>1094</v>
      </c>
      <c r="T291" s="490" t="s">
        <v>883</v>
      </c>
      <c r="U291" s="490" t="s">
        <v>883</v>
      </c>
      <c r="V291" s="284">
        <f t="shared" si="36"/>
        <v>18.32451923076923</v>
      </c>
      <c r="W291" s="299"/>
      <c r="X291" s="299"/>
      <c r="Y291" s="287">
        <f t="shared" si="37"/>
        <v>80</v>
      </c>
      <c r="Z291" s="287">
        <v>1280</v>
      </c>
      <c r="AA291" s="288">
        <v>5200</v>
      </c>
      <c r="AB291" s="261">
        <f t="shared" si="33"/>
        <v>0.11937557392102846</v>
      </c>
      <c r="AC291" s="261">
        <f t="shared" si="34"/>
        <v>1.9100091827364554</v>
      </c>
      <c r="AD291" s="282"/>
      <c r="AE291" s="290" t="s">
        <v>525</v>
      </c>
      <c r="AF291" s="291">
        <v>7</v>
      </c>
      <c r="AG291" s="292" t="s">
        <v>1034</v>
      </c>
      <c r="AH291" s="293" t="s">
        <v>961</v>
      </c>
    </row>
    <row r="292" spans="1:41" s="107" customFormat="1">
      <c r="A292" s="242" t="s">
        <v>853</v>
      </c>
      <c r="B292" s="282" t="s">
        <v>473</v>
      </c>
      <c r="C292" s="121" t="s">
        <v>779</v>
      </c>
      <c r="D292" s="494" t="s">
        <v>883</v>
      </c>
      <c r="E292" s="494" t="s">
        <v>883</v>
      </c>
      <c r="F292" s="495" t="s">
        <v>1094</v>
      </c>
      <c r="G292" s="411" t="s">
        <v>1094</v>
      </c>
      <c r="H292" s="411" t="s">
        <v>1094</v>
      </c>
      <c r="I292" s="490" t="s">
        <v>883</v>
      </c>
      <c r="J292" s="490" t="s">
        <v>883</v>
      </c>
      <c r="K292" s="416">
        <f t="shared" si="32"/>
        <v>4.4642857142857141E-4</v>
      </c>
      <c r="L292" s="490" t="s">
        <v>883</v>
      </c>
      <c r="M292" s="401" t="s">
        <v>1094</v>
      </c>
      <c r="N292" s="490" t="s">
        <v>883</v>
      </c>
      <c r="O292" s="401" t="s">
        <v>1094</v>
      </c>
      <c r="P292" s="401" t="s">
        <v>1094</v>
      </c>
      <c r="Q292" s="401" t="s">
        <v>1094</v>
      </c>
      <c r="R292" s="490" t="s">
        <v>883</v>
      </c>
      <c r="S292" s="490" t="s">
        <v>883</v>
      </c>
      <c r="T292" s="490" t="s">
        <v>883</v>
      </c>
      <c r="U292" s="490" t="s">
        <v>883</v>
      </c>
      <c r="V292" s="284">
        <f t="shared" si="36"/>
        <v>2.2687500000000003</v>
      </c>
      <c r="W292" s="299"/>
      <c r="X292" s="299"/>
      <c r="Y292" s="287">
        <f t="shared" si="37"/>
        <v>18.75</v>
      </c>
      <c r="Z292" s="287">
        <v>300</v>
      </c>
      <c r="AA292" s="288">
        <v>42000</v>
      </c>
      <c r="AB292" s="261">
        <f t="shared" si="33"/>
        <v>0.96418732782369143</v>
      </c>
      <c r="AC292" s="261">
        <f t="shared" si="34"/>
        <v>15.426997245179063</v>
      </c>
      <c r="AD292" s="282"/>
      <c r="AE292" s="290" t="s">
        <v>292</v>
      </c>
      <c r="AF292" s="291">
        <v>8</v>
      </c>
      <c r="AG292" s="292" t="s">
        <v>1034</v>
      </c>
      <c r="AH292" s="293" t="s">
        <v>1281</v>
      </c>
    </row>
    <row r="293" spans="1:41" s="107" customFormat="1">
      <c r="A293" s="242" t="s">
        <v>853</v>
      </c>
      <c r="B293" s="282" t="s">
        <v>511</v>
      </c>
      <c r="C293" s="106" t="s">
        <v>609</v>
      </c>
      <c r="D293" s="490" t="s">
        <v>883</v>
      </c>
      <c r="E293" s="491" t="s">
        <v>1094</v>
      </c>
      <c r="F293" s="491" t="s">
        <v>1094</v>
      </c>
      <c r="G293" s="411" t="s">
        <v>1094</v>
      </c>
      <c r="H293" s="411" t="s">
        <v>1094</v>
      </c>
      <c r="I293" s="411" t="s">
        <v>1094</v>
      </c>
      <c r="J293" s="490" t="s">
        <v>883</v>
      </c>
      <c r="K293" s="416">
        <f t="shared" si="32"/>
        <v>5.8593749999999998E-5</v>
      </c>
      <c r="L293" s="490" t="s">
        <v>883</v>
      </c>
      <c r="M293" s="401" t="s">
        <v>1094</v>
      </c>
      <c r="N293" s="490" t="s">
        <v>883</v>
      </c>
      <c r="O293" s="490" t="s">
        <v>883</v>
      </c>
      <c r="P293" s="490" t="s">
        <v>883</v>
      </c>
      <c r="Q293" s="490" t="s">
        <v>883</v>
      </c>
      <c r="R293" s="490" t="s">
        <v>883</v>
      </c>
      <c r="S293" s="490" t="s">
        <v>883</v>
      </c>
      <c r="T293" s="490" t="s">
        <v>883</v>
      </c>
      <c r="U293" s="490" t="s">
        <v>883</v>
      </c>
      <c r="V293" s="284">
        <f t="shared" si="36"/>
        <v>0.59554687500000003</v>
      </c>
      <c r="W293" s="299"/>
      <c r="X293" s="299"/>
      <c r="Y293" s="287">
        <f t="shared" si="37"/>
        <v>9.375</v>
      </c>
      <c r="Z293" s="287">
        <v>150</v>
      </c>
      <c r="AA293" s="288">
        <v>160000</v>
      </c>
      <c r="AB293" s="261">
        <f t="shared" si="33"/>
        <v>3.6730945821854912</v>
      </c>
      <c r="AC293" s="261">
        <f t="shared" si="34"/>
        <v>58.76951331496786</v>
      </c>
      <c r="AD293" s="282"/>
      <c r="AE293" s="290" t="s">
        <v>294</v>
      </c>
      <c r="AF293" s="291">
        <v>5</v>
      </c>
      <c r="AG293" s="292" t="s">
        <v>1034</v>
      </c>
      <c r="AH293" s="293" t="s">
        <v>1236</v>
      </c>
    </row>
    <row r="294" spans="1:41" s="107" customFormat="1">
      <c r="A294" s="529" t="s">
        <v>853</v>
      </c>
      <c r="B294" s="530" t="s">
        <v>11229</v>
      </c>
      <c r="C294" s="550" t="s">
        <v>11230</v>
      </c>
      <c r="D294" s="547" t="s">
        <v>11280</v>
      </c>
      <c r="E294" s="547" t="s">
        <v>1094</v>
      </c>
      <c r="F294" s="547" t="s">
        <v>1094</v>
      </c>
      <c r="G294" s="548" t="s">
        <v>11280</v>
      </c>
      <c r="H294" s="547" t="s">
        <v>1094</v>
      </c>
      <c r="I294" s="548" t="s">
        <v>11280</v>
      </c>
      <c r="J294" s="547" t="s">
        <v>1094</v>
      </c>
      <c r="K294" s="533">
        <f t="shared" si="32"/>
        <v>0.12</v>
      </c>
      <c r="L294" s="547" t="s">
        <v>1094</v>
      </c>
      <c r="M294" s="533" t="s">
        <v>1094</v>
      </c>
      <c r="N294" s="547" t="s">
        <v>1094</v>
      </c>
      <c r="O294" s="533" t="s">
        <v>1094</v>
      </c>
      <c r="P294" s="547" t="s">
        <v>1094</v>
      </c>
      <c r="Q294" s="533" t="s">
        <v>1094</v>
      </c>
      <c r="R294" s="533" t="s">
        <v>1094</v>
      </c>
      <c r="S294" s="547" t="s">
        <v>1094</v>
      </c>
      <c r="T294" s="533" t="s">
        <v>1094</v>
      </c>
      <c r="U294" s="533" t="s">
        <v>1094</v>
      </c>
      <c r="V294" s="284">
        <f t="shared" si="36"/>
        <v>47.643750000000004</v>
      </c>
      <c r="W294" s="549"/>
      <c r="X294" s="549"/>
      <c r="Y294" s="537">
        <v>240</v>
      </c>
      <c r="Z294" s="537">
        <v>3840</v>
      </c>
      <c r="AA294" s="538">
        <v>2000</v>
      </c>
      <c r="AB294" s="261">
        <f t="shared" si="33"/>
        <v>4.5913682277318638E-2</v>
      </c>
      <c r="AC294" s="261">
        <f t="shared" si="34"/>
        <v>0.7346189164370982</v>
      </c>
      <c r="AD294" s="530"/>
      <c r="AE294" s="540" t="s">
        <v>290</v>
      </c>
      <c r="AF294" s="541">
        <v>6</v>
      </c>
      <c r="AG294" s="542" t="s">
        <v>1034</v>
      </c>
      <c r="AH294" s="543" t="s">
        <v>985</v>
      </c>
    </row>
    <row r="295" spans="1:41" s="107" customFormat="1">
      <c r="A295" s="242" t="s">
        <v>853</v>
      </c>
      <c r="B295" s="282" t="s">
        <v>474</v>
      </c>
      <c r="C295" s="106" t="s">
        <v>808</v>
      </c>
      <c r="D295" s="501" t="s">
        <v>1094</v>
      </c>
      <c r="E295" s="501" t="s">
        <v>1094</v>
      </c>
      <c r="F295" s="490" t="s">
        <v>883</v>
      </c>
      <c r="G295" s="411" t="s">
        <v>1094</v>
      </c>
      <c r="H295" s="411" t="s">
        <v>1094</v>
      </c>
      <c r="I295" s="490" t="s">
        <v>883</v>
      </c>
      <c r="J295" s="490" t="s">
        <v>883</v>
      </c>
      <c r="K295" s="416">
        <f t="shared" si="32"/>
        <v>5.0000000000000001E-4</v>
      </c>
      <c r="L295" s="401" t="s">
        <v>1094</v>
      </c>
      <c r="M295" s="401" t="s">
        <v>1094</v>
      </c>
      <c r="N295" s="401" t="s">
        <v>1094</v>
      </c>
      <c r="O295" s="401" t="s">
        <v>1094</v>
      </c>
      <c r="P295" s="401" t="s">
        <v>1094</v>
      </c>
      <c r="Q295" s="401" t="s">
        <v>1094</v>
      </c>
      <c r="R295" s="401" t="s">
        <v>1094</v>
      </c>
      <c r="S295" s="401" t="s">
        <v>1094</v>
      </c>
      <c r="T295" s="401" t="s">
        <v>1094</v>
      </c>
      <c r="U295" s="401" t="s">
        <v>1094</v>
      </c>
      <c r="V295" s="284">
        <f t="shared" si="36"/>
        <v>0.47643750000000001</v>
      </c>
      <c r="W295" s="299"/>
      <c r="X295" s="299"/>
      <c r="Y295" s="287">
        <f t="shared" ref="Y295:Y302" si="38">SUM(Z295/16)</f>
        <v>100</v>
      </c>
      <c r="Z295" s="287">
        <v>1600</v>
      </c>
      <c r="AA295" s="288">
        <v>200000</v>
      </c>
      <c r="AB295" s="261">
        <f t="shared" si="33"/>
        <v>4.5913682277318637</v>
      </c>
      <c r="AC295" s="261">
        <f t="shared" si="34"/>
        <v>73.461891643709819</v>
      </c>
      <c r="AD295" s="282"/>
      <c r="AE295" s="290" t="s">
        <v>294</v>
      </c>
      <c r="AF295" s="291">
        <v>3</v>
      </c>
      <c r="AG295" s="292" t="s">
        <v>1034</v>
      </c>
      <c r="AH295" s="293" t="s">
        <v>1240</v>
      </c>
    </row>
    <row r="296" spans="1:41" s="107" customFormat="1">
      <c r="A296" s="242" t="s">
        <v>853</v>
      </c>
      <c r="B296" s="281" t="s">
        <v>1307</v>
      </c>
      <c r="C296" s="121" t="s">
        <v>532</v>
      </c>
      <c r="D296" s="490" t="s">
        <v>883</v>
      </c>
      <c r="E296" s="490" t="s">
        <v>883</v>
      </c>
      <c r="F296" s="490" t="s">
        <v>1094</v>
      </c>
      <c r="G296" s="411" t="s">
        <v>1094</v>
      </c>
      <c r="H296" s="411" t="s">
        <v>1094</v>
      </c>
      <c r="I296" s="411" t="s">
        <v>1094</v>
      </c>
      <c r="J296" s="411" t="s">
        <v>1094</v>
      </c>
      <c r="K296" s="416">
        <f t="shared" si="32"/>
        <v>6.4285714285714282E-4</v>
      </c>
      <c r="L296" s="401" t="s">
        <v>1094</v>
      </c>
      <c r="M296" s="401" t="s">
        <v>1094</v>
      </c>
      <c r="N296" s="401" t="s">
        <v>1094</v>
      </c>
      <c r="O296" s="401" t="s">
        <v>1094</v>
      </c>
      <c r="P296" s="401" t="s">
        <v>1094</v>
      </c>
      <c r="Q296" s="401" t="s">
        <v>1094</v>
      </c>
      <c r="R296" s="401" t="s">
        <v>1094</v>
      </c>
      <c r="S296" s="401" t="s">
        <v>1094</v>
      </c>
      <c r="T296" s="401" t="s">
        <v>1094</v>
      </c>
      <c r="U296" s="401" t="s">
        <v>1094</v>
      </c>
      <c r="V296" s="284">
        <f t="shared" si="36"/>
        <v>2.1779999999999999</v>
      </c>
      <c r="W296" s="299"/>
      <c r="X296" s="299"/>
      <c r="Y296" s="287">
        <f t="shared" si="38"/>
        <v>28.125</v>
      </c>
      <c r="Z296" s="287">
        <v>450</v>
      </c>
      <c r="AA296" s="288">
        <v>43750</v>
      </c>
      <c r="AB296" s="261">
        <f t="shared" si="33"/>
        <v>1.0043617998163452</v>
      </c>
      <c r="AC296" s="261">
        <f t="shared" si="34"/>
        <v>16.069788797061523</v>
      </c>
      <c r="AD296" s="282"/>
      <c r="AE296" s="290" t="s">
        <v>294</v>
      </c>
      <c r="AF296" s="291">
        <v>4</v>
      </c>
      <c r="AG296" s="292" t="s">
        <v>1034</v>
      </c>
      <c r="AH296" s="293"/>
    </row>
    <row r="297" spans="1:41" s="209" customFormat="1">
      <c r="A297" s="242" t="s">
        <v>853</v>
      </c>
      <c r="B297" s="297" t="s">
        <v>1282</v>
      </c>
      <c r="C297" s="121" t="s">
        <v>824</v>
      </c>
      <c r="D297" s="490" t="s">
        <v>1094</v>
      </c>
      <c r="E297" s="490" t="s">
        <v>1094</v>
      </c>
      <c r="F297" s="490" t="s">
        <v>883</v>
      </c>
      <c r="G297" s="411" t="s">
        <v>1094</v>
      </c>
      <c r="H297" s="411" t="s">
        <v>1094</v>
      </c>
      <c r="I297" s="490" t="s">
        <v>883</v>
      </c>
      <c r="J297" s="490" t="s">
        <v>883</v>
      </c>
      <c r="K297" s="416">
        <f t="shared" si="32"/>
        <v>3.3333333333333335E-3</v>
      </c>
      <c r="L297" s="401" t="s">
        <v>1094</v>
      </c>
      <c r="M297" s="401" t="s">
        <v>1094</v>
      </c>
      <c r="N297" s="401" t="s">
        <v>1094</v>
      </c>
      <c r="O297" s="401" t="s">
        <v>1094</v>
      </c>
      <c r="P297" s="401" t="s">
        <v>1094</v>
      </c>
      <c r="Q297" s="401" t="s">
        <v>1094</v>
      </c>
      <c r="R297" s="401" t="s">
        <v>1094</v>
      </c>
      <c r="S297" s="401" t="s">
        <v>1094</v>
      </c>
      <c r="T297" s="401" t="s">
        <v>1094</v>
      </c>
      <c r="U297" s="401" t="s">
        <v>1094</v>
      </c>
      <c r="V297" s="284">
        <f t="shared" si="36"/>
        <v>3.17625</v>
      </c>
      <c r="W297" s="299"/>
      <c r="X297" s="299"/>
      <c r="Y297" s="287">
        <f t="shared" si="38"/>
        <v>100</v>
      </c>
      <c r="Z297" s="287">
        <v>1600</v>
      </c>
      <c r="AA297" s="288">
        <v>30000</v>
      </c>
      <c r="AB297" s="261">
        <f t="shared" si="33"/>
        <v>0.68870523415977958</v>
      </c>
      <c r="AC297" s="261">
        <f t="shared" si="34"/>
        <v>11.019283746556473</v>
      </c>
      <c r="AD297" s="282"/>
      <c r="AE297" s="478" t="s">
        <v>11303</v>
      </c>
      <c r="AF297" s="291">
        <v>4</v>
      </c>
      <c r="AG297" s="292" t="s">
        <v>1034</v>
      </c>
      <c r="AH297" s="293" t="s">
        <v>1283</v>
      </c>
      <c r="AI297" s="107"/>
      <c r="AJ297" s="107"/>
      <c r="AK297" s="107"/>
      <c r="AL297" s="107"/>
      <c r="AM297" s="107"/>
      <c r="AN297" s="107"/>
      <c r="AO297" s="107"/>
    </row>
    <row r="298" spans="1:41" s="107" customFormat="1">
      <c r="A298" s="242" t="s">
        <v>853</v>
      </c>
      <c r="B298" s="282" t="s">
        <v>475</v>
      </c>
      <c r="C298" s="108" t="s">
        <v>235</v>
      </c>
      <c r="D298" s="497" t="s">
        <v>1094</v>
      </c>
      <c r="E298" s="499" t="s">
        <v>1094</v>
      </c>
      <c r="F298" s="490" t="s">
        <v>883</v>
      </c>
      <c r="G298" s="411" t="s">
        <v>1094</v>
      </c>
      <c r="H298" s="411" t="s">
        <v>1094</v>
      </c>
      <c r="I298" s="490" t="s">
        <v>883</v>
      </c>
      <c r="J298" s="490" t="s">
        <v>883</v>
      </c>
      <c r="K298" s="416">
        <f t="shared" si="32"/>
        <v>2.9605263157894739E-4</v>
      </c>
      <c r="L298" s="401" t="s">
        <v>1094</v>
      </c>
      <c r="M298" s="401" t="s">
        <v>1094</v>
      </c>
      <c r="N298" s="401" t="s">
        <v>1094</v>
      </c>
      <c r="O298" s="401" t="s">
        <v>1094</v>
      </c>
      <c r="P298" s="401" t="s">
        <v>1094</v>
      </c>
      <c r="Q298" s="401" t="s">
        <v>1094</v>
      </c>
      <c r="R298" s="401" t="s">
        <v>1094</v>
      </c>
      <c r="S298" s="401" t="s">
        <v>1094</v>
      </c>
      <c r="T298" s="401" t="s">
        <v>1094</v>
      </c>
      <c r="U298" s="401" t="s">
        <v>1094</v>
      </c>
      <c r="V298" s="284">
        <f t="shared" si="36"/>
        <v>5.0151315789473685</v>
      </c>
      <c r="W298" s="299"/>
      <c r="X298" s="299"/>
      <c r="Y298" s="287">
        <f t="shared" si="38"/>
        <v>5.625</v>
      </c>
      <c r="Z298" s="287">
        <v>90</v>
      </c>
      <c r="AA298" s="288">
        <v>19000</v>
      </c>
      <c r="AB298" s="261">
        <f t="shared" si="33"/>
        <v>0.43617998163452709</v>
      </c>
      <c r="AC298" s="261">
        <f t="shared" si="34"/>
        <v>6.9788797061524335</v>
      </c>
      <c r="AD298" s="282"/>
      <c r="AE298" s="290" t="s">
        <v>294</v>
      </c>
      <c r="AF298" s="291">
        <v>10</v>
      </c>
      <c r="AG298" s="298" t="s">
        <v>1037</v>
      </c>
      <c r="AH298" s="293" t="s">
        <v>980</v>
      </c>
      <c r="AL298" s="220"/>
    </row>
    <row r="299" spans="1:41" s="107" customFormat="1">
      <c r="A299" s="242" t="s">
        <v>853</v>
      </c>
      <c r="B299" s="282" t="s">
        <v>476</v>
      </c>
      <c r="C299" s="106" t="s">
        <v>1079</v>
      </c>
      <c r="D299" s="491" t="s">
        <v>1094</v>
      </c>
      <c r="E299" s="490" t="s">
        <v>883</v>
      </c>
      <c r="F299" s="490" t="s">
        <v>883</v>
      </c>
      <c r="G299" s="411" t="s">
        <v>1094</v>
      </c>
      <c r="H299" s="411" t="s">
        <v>1094</v>
      </c>
      <c r="I299" s="490" t="s">
        <v>883</v>
      </c>
      <c r="J299" s="490" t="s">
        <v>883</v>
      </c>
      <c r="K299" s="416">
        <f t="shared" si="32"/>
        <v>1.125E-4</v>
      </c>
      <c r="L299" s="401" t="s">
        <v>1094</v>
      </c>
      <c r="M299" s="401" t="s">
        <v>1094</v>
      </c>
      <c r="N299" s="401" t="s">
        <v>1094</v>
      </c>
      <c r="O299" s="401" t="s">
        <v>1094</v>
      </c>
      <c r="P299" s="401" t="s">
        <v>1094</v>
      </c>
      <c r="Q299" s="401" t="s">
        <v>1094</v>
      </c>
      <c r="R299" s="401" t="s">
        <v>1094</v>
      </c>
      <c r="S299" s="401" t="s">
        <v>1094</v>
      </c>
      <c r="T299" s="401" t="s">
        <v>1094</v>
      </c>
      <c r="U299" s="401" t="s">
        <v>1094</v>
      </c>
      <c r="V299" s="284">
        <f t="shared" si="36"/>
        <v>0.38114999999999999</v>
      </c>
      <c r="W299" s="299"/>
      <c r="X299" s="299"/>
      <c r="Y299" s="287">
        <f t="shared" si="38"/>
        <v>28.125</v>
      </c>
      <c r="Z299" s="287">
        <v>450</v>
      </c>
      <c r="AA299" s="288">
        <v>250000</v>
      </c>
      <c r="AB299" s="261">
        <f t="shared" si="33"/>
        <v>5.7392102846648303</v>
      </c>
      <c r="AC299" s="261">
        <f t="shared" si="34"/>
        <v>91.827364554637285</v>
      </c>
      <c r="AD299" s="282"/>
      <c r="AE299" s="290" t="s">
        <v>294</v>
      </c>
      <c r="AF299" s="291">
        <v>2</v>
      </c>
      <c r="AG299" s="292" t="s">
        <v>1034</v>
      </c>
      <c r="AH299" s="293" t="s">
        <v>1235</v>
      </c>
    </row>
    <row r="300" spans="1:41" s="107" customFormat="1">
      <c r="A300" s="242" t="s">
        <v>853</v>
      </c>
      <c r="B300" s="282" t="s">
        <v>477</v>
      </c>
      <c r="C300" s="106" t="s">
        <v>789</v>
      </c>
      <c r="D300" s="491" t="s">
        <v>1094</v>
      </c>
      <c r="E300" s="490" t="s">
        <v>1094</v>
      </c>
      <c r="F300" s="490" t="s">
        <v>883</v>
      </c>
      <c r="G300" s="490" t="s">
        <v>883</v>
      </c>
      <c r="H300" s="411" t="s">
        <v>1094</v>
      </c>
      <c r="I300" s="490" t="s">
        <v>883</v>
      </c>
      <c r="J300" s="411" t="s">
        <v>1094</v>
      </c>
      <c r="K300" s="416">
        <f t="shared" si="32"/>
        <v>1.25E-4</v>
      </c>
      <c r="L300" s="401" t="s">
        <v>1094</v>
      </c>
      <c r="M300" s="401" t="s">
        <v>1094</v>
      </c>
      <c r="N300" s="401" t="s">
        <v>1094</v>
      </c>
      <c r="O300" s="401" t="s">
        <v>1094</v>
      </c>
      <c r="P300" s="401" t="s">
        <v>1094</v>
      </c>
      <c r="Q300" s="401" t="s">
        <v>1094</v>
      </c>
      <c r="R300" s="401" t="s">
        <v>1094</v>
      </c>
      <c r="S300" s="401" t="s">
        <v>1094</v>
      </c>
      <c r="T300" s="401" t="s">
        <v>1094</v>
      </c>
      <c r="U300" s="401" t="s">
        <v>1094</v>
      </c>
      <c r="V300" s="284">
        <f t="shared" si="36"/>
        <v>0.63524999999999998</v>
      </c>
      <c r="W300" s="299"/>
      <c r="X300" s="299"/>
      <c r="Y300" s="287">
        <f t="shared" si="38"/>
        <v>18.75</v>
      </c>
      <c r="Z300" s="287">
        <v>300</v>
      </c>
      <c r="AA300" s="288">
        <v>150000</v>
      </c>
      <c r="AB300" s="261">
        <f t="shared" si="33"/>
        <v>3.443526170798898</v>
      </c>
      <c r="AC300" s="261">
        <f t="shared" si="34"/>
        <v>55.096418732782368</v>
      </c>
      <c r="AD300" s="282"/>
      <c r="AE300" s="290" t="s">
        <v>294</v>
      </c>
      <c r="AF300" s="291">
        <v>2</v>
      </c>
      <c r="AG300" s="292" t="s">
        <v>1034</v>
      </c>
      <c r="AH300" s="293" t="s">
        <v>1236</v>
      </c>
    </row>
    <row r="301" spans="1:41" s="107" customFormat="1">
      <c r="A301" s="242" t="s">
        <v>853</v>
      </c>
      <c r="B301" s="282" t="s">
        <v>478</v>
      </c>
      <c r="C301" s="121" t="s">
        <v>623</v>
      </c>
      <c r="D301" s="490" t="s">
        <v>883</v>
      </c>
      <c r="E301" s="490" t="s">
        <v>1094</v>
      </c>
      <c r="F301" s="490" t="s">
        <v>1094</v>
      </c>
      <c r="G301" s="411" t="s">
        <v>1094</v>
      </c>
      <c r="H301" s="490" t="s">
        <v>1094</v>
      </c>
      <c r="I301" s="411" t="s">
        <v>1094</v>
      </c>
      <c r="J301" s="490" t="s">
        <v>1094</v>
      </c>
      <c r="K301" s="416">
        <f t="shared" si="32"/>
        <v>4.0760869565217389E-4</v>
      </c>
      <c r="L301" s="401" t="s">
        <v>1094</v>
      </c>
      <c r="M301" s="401" t="s">
        <v>1094</v>
      </c>
      <c r="N301" s="401" t="s">
        <v>1094</v>
      </c>
      <c r="O301" s="401" t="s">
        <v>1094</v>
      </c>
      <c r="P301" s="401" t="s">
        <v>1094</v>
      </c>
      <c r="Q301" s="401" t="s">
        <v>1094</v>
      </c>
      <c r="R301" s="401" t="s">
        <v>1094</v>
      </c>
      <c r="S301" s="401" t="s">
        <v>1094</v>
      </c>
      <c r="T301" s="401" t="s">
        <v>1094</v>
      </c>
      <c r="U301" s="401" t="s">
        <v>1094</v>
      </c>
      <c r="V301" s="284">
        <f t="shared" si="36"/>
        <v>1.0357336956521739</v>
      </c>
      <c r="W301" s="299"/>
      <c r="X301" s="299"/>
      <c r="Y301" s="287">
        <f t="shared" si="38"/>
        <v>37.5</v>
      </c>
      <c r="Z301" s="287">
        <v>600</v>
      </c>
      <c r="AA301" s="288">
        <v>92000</v>
      </c>
      <c r="AB301" s="261">
        <f t="shared" si="33"/>
        <v>2.1120293847566574</v>
      </c>
      <c r="AC301" s="261">
        <f t="shared" si="34"/>
        <v>33.792470156106518</v>
      </c>
      <c r="AD301" s="282"/>
      <c r="AE301" s="290" t="s">
        <v>294</v>
      </c>
      <c r="AF301" s="291">
        <v>8</v>
      </c>
      <c r="AG301" s="292" t="s">
        <v>1034</v>
      </c>
      <c r="AH301" s="293" t="s">
        <v>1284</v>
      </c>
    </row>
    <row r="302" spans="1:41" s="107" customFormat="1">
      <c r="A302" s="242" t="s">
        <v>853</v>
      </c>
      <c r="B302" s="282" t="s">
        <v>479</v>
      </c>
      <c r="C302" s="106" t="s">
        <v>602</v>
      </c>
      <c r="D302" s="491" t="s">
        <v>1094</v>
      </c>
      <c r="E302" s="490" t="s">
        <v>1094</v>
      </c>
      <c r="F302" s="490" t="s">
        <v>883</v>
      </c>
      <c r="G302" s="411" t="s">
        <v>1094</v>
      </c>
      <c r="H302" s="411" t="s">
        <v>1094</v>
      </c>
      <c r="I302" s="490" t="s">
        <v>883</v>
      </c>
      <c r="J302" s="490" t="s">
        <v>883</v>
      </c>
      <c r="K302" s="416">
        <f t="shared" si="32"/>
        <v>1.1029411764705883E-2</v>
      </c>
      <c r="L302" s="401" t="s">
        <v>1094</v>
      </c>
      <c r="M302" s="401" t="s">
        <v>1094</v>
      </c>
      <c r="N302" s="401" t="s">
        <v>1094</v>
      </c>
      <c r="O302" s="401" t="s">
        <v>1094</v>
      </c>
      <c r="P302" s="401" t="s">
        <v>1094</v>
      </c>
      <c r="Q302" s="401" t="s">
        <v>1094</v>
      </c>
      <c r="R302" s="401" t="s">
        <v>1094</v>
      </c>
      <c r="S302" s="401" t="s">
        <v>1094</v>
      </c>
      <c r="T302" s="401" t="s">
        <v>1094</v>
      </c>
      <c r="U302" s="401" t="s">
        <v>1094</v>
      </c>
      <c r="V302" s="284">
        <f t="shared" si="36"/>
        <v>56.05147058823529</v>
      </c>
      <c r="W302" s="299"/>
      <c r="X302" s="299"/>
      <c r="Y302" s="287">
        <f t="shared" si="38"/>
        <v>18.75</v>
      </c>
      <c r="Z302" s="287">
        <v>300</v>
      </c>
      <c r="AA302" s="288">
        <v>1700</v>
      </c>
      <c r="AB302" s="261">
        <f t="shared" si="33"/>
        <v>3.9026629935720848E-2</v>
      </c>
      <c r="AC302" s="261">
        <f t="shared" si="34"/>
        <v>0.62442607897153357</v>
      </c>
      <c r="AD302" s="282"/>
      <c r="AE302" s="290" t="s">
        <v>863</v>
      </c>
      <c r="AF302" s="291">
        <v>6</v>
      </c>
      <c r="AG302" s="298" t="s">
        <v>1037</v>
      </c>
      <c r="AH302" s="293" t="s">
        <v>957</v>
      </c>
    </row>
    <row r="303" spans="1:41" s="107" customFormat="1">
      <c r="A303" s="529" t="s">
        <v>853</v>
      </c>
      <c r="B303" s="530" t="s">
        <v>11162</v>
      </c>
      <c r="C303" s="552" t="s">
        <v>11163</v>
      </c>
      <c r="D303" s="547" t="s">
        <v>883</v>
      </c>
      <c r="E303" s="547" t="s">
        <v>1094</v>
      </c>
      <c r="F303" s="553" t="s">
        <v>883</v>
      </c>
      <c r="G303" s="548" t="s">
        <v>883</v>
      </c>
      <c r="H303" s="548" t="s">
        <v>1094</v>
      </c>
      <c r="I303" s="548" t="s">
        <v>883</v>
      </c>
      <c r="J303" s="547" t="s">
        <v>1094</v>
      </c>
      <c r="K303" s="533">
        <f t="shared" si="32"/>
        <v>4.8387096774193551E-3</v>
      </c>
      <c r="L303" s="547" t="s">
        <v>883</v>
      </c>
      <c r="M303" s="533" t="s">
        <v>883</v>
      </c>
      <c r="N303" s="533" t="s">
        <v>1094</v>
      </c>
      <c r="O303" s="547" t="s">
        <v>883</v>
      </c>
      <c r="P303" s="533" t="s">
        <v>1094</v>
      </c>
      <c r="Q303" s="547" t="s">
        <v>883</v>
      </c>
      <c r="R303" s="547" t="s">
        <v>883</v>
      </c>
      <c r="S303" s="533" t="s">
        <v>1094</v>
      </c>
      <c r="T303" s="533" t="s">
        <v>883</v>
      </c>
      <c r="U303" s="547" t="s">
        <v>883</v>
      </c>
      <c r="V303" s="534">
        <f t="shared" si="36"/>
        <v>15.368951612903224</v>
      </c>
      <c r="W303" s="535"/>
      <c r="X303" s="536"/>
      <c r="Y303" s="537">
        <v>30</v>
      </c>
      <c r="Z303" s="537">
        <v>480</v>
      </c>
      <c r="AA303" s="538">
        <v>6200</v>
      </c>
      <c r="AB303" s="516">
        <f t="shared" si="33"/>
        <v>0.1423324150596878</v>
      </c>
      <c r="AC303" s="516">
        <f t="shared" si="34"/>
        <v>2.2773186409550048</v>
      </c>
      <c r="AD303" s="539"/>
      <c r="AE303" s="540" t="s">
        <v>294</v>
      </c>
      <c r="AF303" s="541">
        <v>5</v>
      </c>
      <c r="AG303" s="542" t="s">
        <v>1034</v>
      </c>
      <c r="AH303" s="543" t="s">
        <v>946</v>
      </c>
    </row>
    <row r="304" spans="1:41" s="107" customFormat="1">
      <c r="A304" s="242" t="s">
        <v>853</v>
      </c>
      <c r="B304" s="282" t="s">
        <v>480</v>
      </c>
      <c r="C304" s="106" t="s">
        <v>1084</v>
      </c>
      <c r="D304" s="491" t="s">
        <v>1094</v>
      </c>
      <c r="E304" s="490" t="s">
        <v>883</v>
      </c>
      <c r="F304" s="490" t="s">
        <v>883</v>
      </c>
      <c r="G304" s="411" t="s">
        <v>1094</v>
      </c>
      <c r="H304" s="411" t="s">
        <v>1094</v>
      </c>
      <c r="I304" s="490" t="s">
        <v>883</v>
      </c>
      <c r="J304" s="490" t="s">
        <v>883</v>
      </c>
      <c r="K304" s="416">
        <f t="shared" si="32"/>
        <v>4.261363636363636E-3</v>
      </c>
      <c r="L304" s="401" t="s">
        <v>1094</v>
      </c>
      <c r="M304" s="401" t="s">
        <v>1094</v>
      </c>
      <c r="N304" s="401" t="s">
        <v>1094</v>
      </c>
      <c r="O304" s="401" t="s">
        <v>1094</v>
      </c>
      <c r="P304" s="401" t="s">
        <v>1094</v>
      </c>
      <c r="Q304" s="401" t="s">
        <v>1094</v>
      </c>
      <c r="R304" s="401" t="s">
        <v>1094</v>
      </c>
      <c r="S304" s="401" t="s">
        <v>1094</v>
      </c>
      <c r="T304" s="401" t="s">
        <v>1094</v>
      </c>
      <c r="U304" s="401" t="s">
        <v>1094</v>
      </c>
      <c r="V304" s="284">
        <f t="shared" si="36"/>
        <v>8.6624999999999996</v>
      </c>
      <c r="W304" s="299"/>
      <c r="X304" s="299"/>
      <c r="Y304" s="287">
        <f t="shared" ref="Y304:Y312" si="39">SUM(Z304/16)</f>
        <v>46.875</v>
      </c>
      <c r="Z304" s="287">
        <v>750</v>
      </c>
      <c r="AA304" s="288">
        <v>11000</v>
      </c>
      <c r="AB304" s="261">
        <f t="shared" si="33"/>
        <v>0.25252525252525254</v>
      </c>
      <c r="AC304" s="261">
        <f t="shared" si="34"/>
        <v>4.0404040404040407</v>
      </c>
      <c r="AD304" s="282"/>
      <c r="AE304" s="290" t="s">
        <v>294</v>
      </c>
      <c r="AF304" s="291">
        <v>0</v>
      </c>
      <c r="AG304" s="292" t="s">
        <v>1034</v>
      </c>
      <c r="AH304" s="293" t="s">
        <v>960</v>
      </c>
      <c r="AL304" s="219"/>
    </row>
    <row r="305" spans="1:34" s="107" customFormat="1">
      <c r="A305" s="242" t="s">
        <v>853</v>
      </c>
      <c r="B305" s="297" t="s">
        <v>1285</v>
      </c>
      <c r="C305" s="108" t="s">
        <v>224</v>
      </c>
      <c r="D305" s="497" t="s">
        <v>1094</v>
      </c>
      <c r="E305" s="497" t="s">
        <v>1094</v>
      </c>
      <c r="F305" s="490" t="s">
        <v>883</v>
      </c>
      <c r="G305" s="411" t="s">
        <v>1094</v>
      </c>
      <c r="H305" s="411" t="s">
        <v>1094</v>
      </c>
      <c r="I305" s="490" t="s">
        <v>883</v>
      </c>
      <c r="J305" s="490" t="s">
        <v>883</v>
      </c>
      <c r="K305" s="416">
        <f t="shared" si="32"/>
        <v>1.3392857142857144E-4</v>
      </c>
      <c r="L305" s="401" t="s">
        <v>1094</v>
      </c>
      <c r="M305" s="401" t="s">
        <v>1094</v>
      </c>
      <c r="N305" s="401" t="s">
        <v>1094</v>
      </c>
      <c r="O305" s="401" t="s">
        <v>1094</v>
      </c>
      <c r="P305" s="401" t="s">
        <v>1094</v>
      </c>
      <c r="Q305" s="401" t="s">
        <v>1094</v>
      </c>
      <c r="R305" s="401" t="s">
        <v>1094</v>
      </c>
      <c r="S305" s="401" t="s">
        <v>1094</v>
      </c>
      <c r="T305" s="401" t="s">
        <v>1094</v>
      </c>
      <c r="U305" s="401" t="s">
        <v>1094</v>
      </c>
      <c r="V305" s="284">
        <f t="shared" si="36"/>
        <v>1.3612500000000001</v>
      </c>
      <c r="W305" s="299"/>
      <c r="X305" s="299"/>
      <c r="Y305" s="287">
        <f t="shared" si="39"/>
        <v>9.375</v>
      </c>
      <c r="Z305" s="287">
        <v>150</v>
      </c>
      <c r="AA305" s="288">
        <v>70000</v>
      </c>
      <c r="AB305" s="261">
        <f t="shared" si="33"/>
        <v>1.6069788797061524</v>
      </c>
      <c r="AC305" s="261">
        <f t="shared" si="34"/>
        <v>25.711662075298438</v>
      </c>
      <c r="AD305" s="282"/>
      <c r="AE305" s="290" t="s">
        <v>294</v>
      </c>
      <c r="AF305" s="291">
        <v>2</v>
      </c>
      <c r="AG305" s="292" t="s">
        <v>1034</v>
      </c>
      <c r="AH305" s="293" t="s">
        <v>949</v>
      </c>
    </row>
    <row r="306" spans="1:34" s="107" customFormat="1">
      <c r="A306" s="242" t="s">
        <v>853</v>
      </c>
      <c r="B306" s="282" t="s">
        <v>481</v>
      </c>
      <c r="C306" s="121" t="s">
        <v>631</v>
      </c>
      <c r="D306" s="490" t="s">
        <v>1094</v>
      </c>
      <c r="E306" s="490" t="s">
        <v>883</v>
      </c>
      <c r="F306" s="490" t="s">
        <v>883</v>
      </c>
      <c r="G306" s="411" t="s">
        <v>1094</v>
      </c>
      <c r="H306" s="411" t="s">
        <v>1094</v>
      </c>
      <c r="I306" s="490" t="s">
        <v>883</v>
      </c>
      <c r="J306" s="490" t="s">
        <v>883</v>
      </c>
      <c r="K306" s="416">
        <f t="shared" si="32"/>
        <v>1.4634146341463415E-3</v>
      </c>
      <c r="L306" s="490" t="s">
        <v>883</v>
      </c>
      <c r="M306" s="401" t="s">
        <v>1094</v>
      </c>
      <c r="N306" s="401" t="s">
        <v>1094</v>
      </c>
      <c r="O306" s="490" t="s">
        <v>883</v>
      </c>
      <c r="P306" s="490" t="s">
        <v>883</v>
      </c>
      <c r="Q306" s="490" t="s">
        <v>883</v>
      </c>
      <c r="R306" s="401" t="s">
        <v>1094</v>
      </c>
      <c r="S306" s="401" t="s">
        <v>1094</v>
      </c>
      <c r="T306" s="490" t="s">
        <v>883</v>
      </c>
      <c r="U306" s="490" t="s">
        <v>883</v>
      </c>
      <c r="V306" s="284">
        <f t="shared" si="36"/>
        <v>2.3240853658536587</v>
      </c>
      <c r="W306" s="299"/>
      <c r="X306" s="299"/>
      <c r="Y306" s="287">
        <f t="shared" si="39"/>
        <v>60</v>
      </c>
      <c r="Z306" s="287">
        <v>960</v>
      </c>
      <c r="AA306" s="288">
        <v>41000</v>
      </c>
      <c r="AB306" s="261">
        <f t="shared" si="33"/>
        <v>0.94123048668503217</v>
      </c>
      <c r="AC306" s="261">
        <f t="shared" si="34"/>
        <v>15.059687786960515</v>
      </c>
      <c r="AD306" s="282"/>
      <c r="AE306" s="290" t="s">
        <v>525</v>
      </c>
      <c r="AF306" s="291">
        <v>7</v>
      </c>
      <c r="AG306" s="292" t="s">
        <v>1034</v>
      </c>
      <c r="AH306" s="293" t="s">
        <v>946</v>
      </c>
    </row>
    <row r="307" spans="1:34" s="107" customFormat="1">
      <c r="A307" s="242" t="s">
        <v>853</v>
      </c>
      <c r="B307" s="282" t="s">
        <v>482</v>
      </c>
      <c r="C307" s="121" t="s">
        <v>688</v>
      </c>
      <c r="D307" s="490" t="s">
        <v>1094</v>
      </c>
      <c r="E307" s="490" t="s">
        <v>883</v>
      </c>
      <c r="F307" s="490" t="s">
        <v>883</v>
      </c>
      <c r="G307" s="411" t="s">
        <v>1094</v>
      </c>
      <c r="H307" s="490" t="s">
        <v>883</v>
      </c>
      <c r="I307" s="490" t="s">
        <v>883</v>
      </c>
      <c r="J307" s="490" t="s">
        <v>883</v>
      </c>
      <c r="K307" s="416">
        <f t="shared" si="32"/>
        <v>4.7619047619047623E-3</v>
      </c>
      <c r="L307" s="401" t="s">
        <v>1094</v>
      </c>
      <c r="M307" s="401" t="s">
        <v>1094</v>
      </c>
      <c r="N307" s="401" t="s">
        <v>1094</v>
      </c>
      <c r="O307" s="401" t="s">
        <v>1094</v>
      </c>
      <c r="P307" s="401" t="s">
        <v>1094</v>
      </c>
      <c r="Q307" s="401" t="s">
        <v>1094</v>
      </c>
      <c r="R307" s="401" t="s">
        <v>1094</v>
      </c>
      <c r="S307" s="401" t="s">
        <v>1094</v>
      </c>
      <c r="T307" s="401" t="s">
        <v>1094</v>
      </c>
      <c r="U307" s="401" t="s">
        <v>1094</v>
      </c>
      <c r="V307" s="284">
        <f t="shared" si="36"/>
        <v>2.2687500000000003</v>
      </c>
      <c r="W307" s="299"/>
      <c r="X307" s="299"/>
      <c r="Y307" s="287">
        <f t="shared" si="39"/>
        <v>200</v>
      </c>
      <c r="Z307" s="287">
        <v>3200</v>
      </c>
      <c r="AA307" s="288">
        <v>42000</v>
      </c>
      <c r="AB307" s="261">
        <f t="shared" si="33"/>
        <v>0.96418732782369143</v>
      </c>
      <c r="AC307" s="261">
        <f t="shared" si="34"/>
        <v>15.426997245179063</v>
      </c>
      <c r="AD307" s="282"/>
      <c r="AE307" s="290" t="s">
        <v>294</v>
      </c>
      <c r="AF307" s="291">
        <v>7</v>
      </c>
      <c r="AG307" s="292" t="s">
        <v>1035</v>
      </c>
      <c r="AH307" s="293" t="s">
        <v>994</v>
      </c>
    </row>
    <row r="308" spans="1:34" s="107" customFormat="1">
      <c r="A308" s="242" t="s">
        <v>853</v>
      </c>
      <c r="B308" s="282" t="s">
        <v>537</v>
      </c>
      <c r="C308" s="121" t="s">
        <v>701</v>
      </c>
      <c r="D308" s="490" t="s">
        <v>1094</v>
      </c>
      <c r="E308" s="490" t="s">
        <v>1094</v>
      </c>
      <c r="F308" s="490" t="s">
        <v>883</v>
      </c>
      <c r="G308" s="411" t="s">
        <v>1094</v>
      </c>
      <c r="H308" s="490" t="s">
        <v>1094</v>
      </c>
      <c r="I308" s="490" t="s">
        <v>883</v>
      </c>
      <c r="J308" s="490" t="s">
        <v>883</v>
      </c>
      <c r="K308" s="416">
        <f t="shared" si="32"/>
        <v>5.3571428571428572E-3</v>
      </c>
      <c r="L308" s="401" t="s">
        <v>1094</v>
      </c>
      <c r="M308" s="401" t="s">
        <v>1094</v>
      </c>
      <c r="N308" s="401" t="s">
        <v>1094</v>
      </c>
      <c r="O308" s="401" t="s">
        <v>1094</v>
      </c>
      <c r="P308" s="401" t="s">
        <v>1094</v>
      </c>
      <c r="Q308" s="401" t="s">
        <v>1094</v>
      </c>
      <c r="R308" s="401" t="s">
        <v>1094</v>
      </c>
      <c r="S308" s="401" t="s">
        <v>1094</v>
      </c>
      <c r="T308" s="401" t="s">
        <v>1094</v>
      </c>
      <c r="U308" s="401" t="s">
        <v>1094</v>
      </c>
      <c r="V308" s="284">
        <f t="shared" si="36"/>
        <v>27.225000000000001</v>
      </c>
      <c r="W308" s="299"/>
      <c r="X308" s="299"/>
      <c r="Y308" s="287">
        <f t="shared" si="39"/>
        <v>18.75</v>
      </c>
      <c r="Z308" s="287">
        <v>300</v>
      </c>
      <c r="AA308" s="288">
        <v>3500</v>
      </c>
      <c r="AB308" s="261">
        <f t="shared" si="33"/>
        <v>8.0348943985307619E-2</v>
      </c>
      <c r="AC308" s="261">
        <f t="shared" si="34"/>
        <v>1.2855831037649219</v>
      </c>
      <c r="AD308" s="282"/>
      <c r="AE308" s="290" t="s">
        <v>294</v>
      </c>
      <c r="AF308" s="291">
        <v>0</v>
      </c>
      <c r="AG308" s="292" t="s">
        <v>1034</v>
      </c>
      <c r="AH308" s="293" t="s">
        <v>949</v>
      </c>
    </row>
    <row r="309" spans="1:34" s="107" customFormat="1">
      <c r="A309" s="242" t="s">
        <v>853</v>
      </c>
      <c r="B309" s="282" t="s">
        <v>483</v>
      </c>
      <c r="C309" s="121" t="s">
        <v>657</v>
      </c>
      <c r="D309" s="490" t="s">
        <v>883</v>
      </c>
      <c r="E309" s="490" t="s">
        <v>1094</v>
      </c>
      <c r="F309" s="490" t="s">
        <v>883</v>
      </c>
      <c r="G309" s="411" t="s">
        <v>1094</v>
      </c>
      <c r="H309" s="411" t="s">
        <v>1094</v>
      </c>
      <c r="I309" s="490" t="s">
        <v>883</v>
      </c>
      <c r="J309" s="411" t="s">
        <v>1094</v>
      </c>
      <c r="K309" s="416">
        <f t="shared" si="32"/>
        <v>0.02</v>
      </c>
      <c r="L309" s="490" t="s">
        <v>883</v>
      </c>
      <c r="M309" s="401" t="s">
        <v>1094</v>
      </c>
      <c r="N309" s="401" t="s">
        <v>1094</v>
      </c>
      <c r="O309" s="401" t="s">
        <v>1094</v>
      </c>
      <c r="P309" s="401" t="s">
        <v>1094</v>
      </c>
      <c r="Q309" s="490" t="s">
        <v>883</v>
      </c>
      <c r="R309" s="401" t="s">
        <v>1094</v>
      </c>
      <c r="S309" s="401" t="s">
        <v>1094</v>
      </c>
      <c r="T309" s="401" t="s">
        <v>1094</v>
      </c>
      <c r="U309" s="401" t="s">
        <v>1094</v>
      </c>
      <c r="V309" s="284">
        <f t="shared" ref="V309:V327" si="40">35/AC309</f>
        <v>19.057500000000001</v>
      </c>
      <c r="W309" s="299"/>
      <c r="X309" s="299"/>
      <c r="Y309" s="287">
        <f t="shared" si="39"/>
        <v>100</v>
      </c>
      <c r="Z309" s="287">
        <v>1600</v>
      </c>
      <c r="AA309" s="288">
        <v>5000</v>
      </c>
      <c r="AB309" s="261">
        <f t="shared" si="33"/>
        <v>0.1147842056932966</v>
      </c>
      <c r="AC309" s="261">
        <f t="shared" si="34"/>
        <v>1.8365472910927456</v>
      </c>
      <c r="AD309" s="282"/>
      <c r="AE309" s="290" t="s">
        <v>292</v>
      </c>
      <c r="AF309" s="291">
        <v>6</v>
      </c>
      <c r="AG309" s="292" t="s">
        <v>1034</v>
      </c>
      <c r="AH309" s="293" t="s">
        <v>1001</v>
      </c>
    </row>
    <row r="310" spans="1:34" s="107" customFormat="1">
      <c r="A310" s="242" t="s">
        <v>853</v>
      </c>
      <c r="B310" s="282" t="s">
        <v>484</v>
      </c>
      <c r="C310" s="106" t="s">
        <v>792</v>
      </c>
      <c r="D310" s="490" t="s">
        <v>883</v>
      </c>
      <c r="E310" s="491" t="s">
        <v>1094</v>
      </c>
      <c r="F310" s="490" t="s">
        <v>883</v>
      </c>
      <c r="G310" s="490" t="s">
        <v>883</v>
      </c>
      <c r="H310" s="411" t="s">
        <v>1094</v>
      </c>
      <c r="I310" s="490" t="s">
        <v>883</v>
      </c>
      <c r="J310" s="411" t="s">
        <v>1094</v>
      </c>
      <c r="K310" s="416">
        <f t="shared" si="32"/>
        <v>1.0044642857142858E-2</v>
      </c>
      <c r="L310" s="401" t="s">
        <v>1094</v>
      </c>
      <c r="M310" s="401" t="s">
        <v>1094</v>
      </c>
      <c r="N310" s="401" t="s">
        <v>1094</v>
      </c>
      <c r="O310" s="401" t="s">
        <v>1094</v>
      </c>
      <c r="P310" s="401" t="s">
        <v>1094</v>
      </c>
      <c r="Q310" s="401" t="s">
        <v>1094</v>
      </c>
      <c r="R310" s="401" t="s">
        <v>1094</v>
      </c>
      <c r="S310" s="401" t="s">
        <v>1094</v>
      </c>
      <c r="T310" s="401" t="s">
        <v>1094</v>
      </c>
      <c r="U310" s="401" t="s">
        <v>1094</v>
      </c>
      <c r="V310" s="284">
        <f t="shared" si="40"/>
        <v>68.0625</v>
      </c>
      <c r="W310" s="299"/>
      <c r="X310" s="299"/>
      <c r="Y310" s="287">
        <f t="shared" si="39"/>
        <v>14.0625</v>
      </c>
      <c r="Z310" s="287">
        <v>225</v>
      </c>
      <c r="AA310" s="288">
        <v>1400</v>
      </c>
      <c r="AB310" s="261">
        <f t="shared" si="33"/>
        <v>3.2139577594123052E-2</v>
      </c>
      <c r="AC310" s="261">
        <f t="shared" si="34"/>
        <v>0.51423324150596883</v>
      </c>
      <c r="AD310" s="282"/>
      <c r="AE310" s="290" t="s">
        <v>863</v>
      </c>
      <c r="AF310" s="291">
        <v>9</v>
      </c>
      <c r="AG310" s="292" t="s">
        <v>1034</v>
      </c>
      <c r="AH310" s="293" t="s">
        <v>985</v>
      </c>
    </row>
    <row r="311" spans="1:34" s="544" customFormat="1">
      <c r="A311" s="242" t="s">
        <v>853</v>
      </c>
      <c r="B311" s="282" t="s">
        <v>485</v>
      </c>
      <c r="C311" s="558" t="s">
        <v>660</v>
      </c>
      <c r="D311" s="494" t="s">
        <v>883</v>
      </c>
      <c r="E311" s="490" t="s">
        <v>1094</v>
      </c>
      <c r="F311" s="490" t="s">
        <v>1094</v>
      </c>
      <c r="G311" s="411" t="s">
        <v>1094</v>
      </c>
      <c r="H311" s="411" t="s">
        <v>883</v>
      </c>
      <c r="I311" s="490" t="s">
        <v>883</v>
      </c>
      <c r="J311" s="490" t="s">
        <v>883</v>
      </c>
      <c r="K311" s="416">
        <f t="shared" si="32"/>
        <v>4.807692307692308E-3</v>
      </c>
      <c r="L311" s="556" t="s">
        <v>1094</v>
      </c>
      <c r="M311" s="556" t="s">
        <v>1094</v>
      </c>
      <c r="N311" s="556" t="s">
        <v>1094</v>
      </c>
      <c r="O311" s="401" t="s">
        <v>1094</v>
      </c>
      <c r="P311" s="401" t="s">
        <v>1094</v>
      </c>
      <c r="Q311" s="401" t="s">
        <v>1094</v>
      </c>
      <c r="R311" s="401" t="s">
        <v>1094</v>
      </c>
      <c r="S311" s="401" t="s">
        <v>1094</v>
      </c>
      <c r="T311" s="401" t="s">
        <v>1094</v>
      </c>
      <c r="U311" s="401" t="s">
        <v>1094</v>
      </c>
      <c r="V311" s="284">
        <f t="shared" si="40"/>
        <v>24.432692307692307</v>
      </c>
      <c r="W311" s="299"/>
      <c r="X311" s="299"/>
      <c r="Y311" s="287">
        <f t="shared" si="39"/>
        <v>18.75</v>
      </c>
      <c r="Z311" s="287">
        <v>300</v>
      </c>
      <c r="AA311" s="288">
        <v>3900</v>
      </c>
      <c r="AB311" s="261">
        <f t="shared" si="33"/>
        <v>8.9531680440771352E-2</v>
      </c>
      <c r="AC311" s="261">
        <f t="shared" si="34"/>
        <v>1.4325068870523416</v>
      </c>
      <c r="AD311" s="282"/>
      <c r="AE311" s="290" t="s">
        <v>863</v>
      </c>
      <c r="AF311" s="291">
        <v>4</v>
      </c>
      <c r="AG311" s="298" t="s">
        <v>1037</v>
      </c>
      <c r="AH311" s="293" t="s">
        <v>993</v>
      </c>
    </row>
    <row r="312" spans="1:34" s="544" customFormat="1">
      <c r="A312" s="242" t="s">
        <v>853</v>
      </c>
      <c r="B312" s="282" t="s">
        <v>486</v>
      </c>
      <c r="C312" s="121" t="s">
        <v>697</v>
      </c>
      <c r="D312" s="490" t="s">
        <v>883</v>
      </c>
      <c r="E312" s="490" t="s">
        <v>883</v>
      </c>
      <c r="F312" s="490" t="s">
        <v>1094</v>
      </c>
      <c r="G312" s="411" t="s">
        <v>1094</v>
      </c>
      <c r="H312" s="411" t="s">
        <v>1094</v>
      </c>
      <c r="I312" s="411" t="s">
        <v>1094</v>
      </c>
      <c r="J312" s="490" t="s">
        <v>883</v>
      </c>
      <c r="K312" s="416">
        <f t="shared" si="32"/>
        <v>9.3750000000000002E-5</v>
      </c>
      <c r="L312" s="401" t="s">
        <v>1094</v>
      </c>
      <c r="M312" s="401" t="s">
        <v>1094</v>
      </c>
      <c r="N312" s="401" t="s">
        <v>1094</v>
      </c>
      <c r="O312" s="401" t="s">
        <v>1094</v>
      </c>
      <c r="P312" s="401" t="s">
        <v>1094</v>
      </c>
      <c r="Q312" s="401" t="s">
        <v>1094</v>
      </c>
      <c r="R312" s="401" t="s">
        <v>1094</v>
      </c>
      <c r="S312" s="401" t="s">
        <v>1094</v>
      </c>
      <c r="T312" s="401" t="s">
        <v>1094</v>
      </c>
      <c r="U312" s="401" t="s">
        <v>1094</v>
      </c>
      <c r="V312" s="284">
        <f t="shared" si="40"/>
        <v>0.31762499999999999</v>
      </c>
      <c r="W312" s="299"/>
      <c r="X312" s="299"/>
      <c r="Y312" s="287">
        <f t="shared" si="39"/>
        <v>28.125</v>
      </c>
      <c r="Z312" s="287">
        <v>450</v>
      </c>
      <c r="AA312" s="288">
        <v>300000</v>
      </c>
      <c r="AB312" s="261">
        <f t="shared" si="33"/>
        <v>6.887052341597796</v>
      </c>
      <c r="AC312" s="261">
        <f t="shared" si="34"/>
        <v>110.19283746556474</v>
      </c>
      <c r="AD312" s="282"/>
      <c r="AE312" s="290" t="s">
        <v>294</v>
      </c>
      <c r="AF312" s="291">
        <v>4</v>
      </c>
      <c r="AG312" s="292" t="s">
        <v>1034</v>
      </c>
      <c r="AH312" s="293" t="s">
        <v>965</v>
      </c>
    </row>
    <row r="313" spans="1:34" s="544" customFormat="1">
      <c r="A313" s="242" t="s">
        <v>853</v>
      </c>
      <c r="B313" s="282" t="s">
        <v>487</v>
      </c>
      <c r="C313" s="121" t="s">
        <v>738</v>
      </c>
      <c r="D313" s="490" t="s">
        <v>1094</v>
      </c>
      <c r="E313" s="490" t="s">
        <v>1094</v>
      </c>
      <c r="F313" s="490" t="s">
        <v>883</v>
      </c>
      <c r="G313" s="411" t="s">
        <v>1094</v>
      </c>
      <c r="H313" s="490" t="s">
        <v>1094</v>
      </c>
      <c r="I313" s="490" t="s">
        <v>883</v>
      </c>
      <c r="J313" s="490" t="s">
        <v>1094</v>
      </c>
      <c r="K313" s="416">
        <f t="shared" si="32"/>
        <v>5.8823529411764701E-4</v>
      </c>
      <c r="L313" s="401" t="s">
        <v>1094</v>
      </c>
      <c r="M313" s="401" t="s">
        <v>1094</v>
      </c>
      <c r="N313" s="401" t="s">
        <v>1094</v>
      </c>
      <c r="O313" s="401" t="s">
        <v>1094</v>
      </c>
      <c r="P313" s="401" t="s">
        <v>1094</v>
      </c>
      <c r="Q313" s="401" t="s">
        <v>1094</v>
      </c>
      <c r="R313" s="401" t="s">
        <v>1094</v>
      </c>
      <c r="S313" s="401" t="s">
        <v>1094</v>
      </c>
      <c r="T313" s="401" t="s">
        <v>1094</v>
      </c>
      <c r="U313" s="401" t="s">
        <v>1094</v>
      </c>
      <c r="V313" s="284">
        <f t="shared" si="40"/>
        <v>2.8025735294117644</v>
      </c>
      <c r="W313" s="299"/>
      <c r="X313" s="299"/>
      <c r="Y313" s="287">
        <v>20</v>
      </c>
      <c r="Z313" s="287">
        <v>320</v>
      </c>
      <c r="AA313" s="288">
        <v>34000</v>
      </c>
      <c r="AB313" s="261">
        <f t="shared" si="33"/>
        <v>0.78053259871441694</v>
      </c>
      <c r="AC313" s="261">
        <f t="shared" si="34"/>
        <v>12.488521579430671</v>
      </c>
      <c r="AD313" s="282"/>
      <c r="AE313" s="290" t="s">
        <v>863</v>
      </c>
      <c r="AF313" s="291">
        <v>3</v>
      </c>
      <c r="AG313" s="292" t="s">
        <v>1034</v>
      </c>
      <c r="AH313" s="293" t="s">
        <v>1002</v>
      </c>
    </row>
    <row r="314" spans="1:34" s="544" customFormat="1">
      <c r="A314" s="242" t="s">
        <v>853</v>
      </c>
      <c r="B314" s="282" t="s">
        <v>488</v>
      </c>
      <c r="C314" s="121" t="s">
        <v>749</v>
      </c>
      <c r="D314" s="490" t="s">
        <v>883</v>
      </c>
      <c r="E314" s="490" t="s">
        <v>1094</v>
      </c>
      <c r="F314" s="490" t="s">
        <v>883</v>
      </c>
      <c r="G314" s="411" t="s">
        <v>883</v>
      </c>
      <c r="H314" s="411" t="s">
        <v>1094</v>
      </c>
      <c r="I314" s="490" t="s">
        <v>883</v>
      </c>
      <c r="J314" s="411" t="s">
        <v>1094</v>
      </c>
      <c r="K314" s="416">
        <f t="shared" si="32"/>
        <v>4.7999999999999996E-3</v>
      </c>
      <c r="L314" s="490" t="s">
        <v>883</v>
      </c>
      <c r="M314" s="401" t="s">
        <v>1094</v>
      </c>
      <c r="N314" s="401" t="s">
        <v>1094</v>
      </c>
      <c r="O314" s="490" t="s">
        <v>883</v>
      </c>
      <c r="P314" s="401" t="s">
        <v>1094</v>
      </c>
      <c r="Q314" s="490" t="s">
        <v>883</v>
      </c>
      <c r="R314" s="490" t="s">
        <v>883</v>
      </c>
      <c r="S314" s="401" t="s">
        <v>1094</v>
      </c>
      <c r="T314" s="490" t="s">
        <v>883</v>
      </c>
      <c r="U314" s="490" t="s">
        <v>883</v>
      </c>
      <c r="V314" s="284">
        <f t="shared" si="40"/>
        <v>3.8115000000000001</v>
      </c>
      <c r="W314" s="299"/>
      <c r="X314" s="299"/>
      <c r="Y314" s="287">
        <f t="shared" ref="Y314:Y326" si="41">SUM(Z314/16)</f>
        <v>120</v>
      </c>
      <c r="Z314" s="287">
        <v>1920</v>
      </c>
      <c r="AA314" s="288">
        <v>25000</v>
      </c>
      <c r="AB314" s="261">
        <f t="shared" si="33"/>
        <v>0.57392102846648296</v>
      </c>
      <c r="AC314" s="261">
        <f t="shared" si="34"/>
        <v>9.1827364554637274</v>
      </c>
      <c r="AD314" s="282"/>
      <c r="AE314" s="290" t="s">
        <v>290</v>
      </c>
      <c r="AF314" s="291">
        <v>10</v>
      </c>
      <c r="AG314" s="292" t="s">
        <v>1034</v>
      </c>
      <c r="AH314" s="320" t="s">
        <v>1003</v>
      </c>
    </row>
    <row r="315" spans="1:34" s="544" customFormat="1">
      <c r="A315" s="242" t="s">
        <v>853</v>
      </c>
      <c r="B315" s="282" t="s">
        <v>489</v>
      </c>
      <c r="C315" s="108" t="s">
        <v>238</v>
      </c>
      <c r="D315" s="490" t="s">
        <v>883</v>
      </c>
      <c r="E315" s="497" t="s">
        <v>883</v>
      </c>
      <c r="F315" s="497" t="s">
        <v>1094</v>
      </c>
      <c r="G315" s="411" t="s">
        <v>1094</v>
      </c>
      <c r="H315" s="411" t="s">
        <v>1094</v>
      </c>
      <c r="I315" s="411" t="s">
        <v>1094</v>
      </c>
      <c r="J315" s="490" t="s">
        <v>883</v>
      </c>
      <c r="K315" s="416">
        <f t="shared" si="32"/>
        <v>4.261363636363636E-3</v>
      </c>
      <c r="L315" s="490" t="s">
        <v>883</v>
      </c>
      <c r="M315" s="401" t="s">
        <v>1094</v>
      </c>
      <c r="N315" s="401" t="s">
        <v>1094</v>
      </c>
      <c r="O315" s="401" t="s">
        <v>1094</v>
      </c>
      <c r="P315" s="401" t="s">
        <v>1094</v>
      </c>
      <c r="Q315" s="490" t="s">
        <v>883</v>
      </c>
      <c r="R315" s="401" t="s">
        <v>1094</v>
      </c>
      <c r="S315" s="490" t="s">
        <v>883</v>
      </c>
      <c r="T315" s="490" t="s">
        <v>883</v>
      </c>
      <c r="U315" s="490" t="s">
        <v>883</v>
      </c>
      <c r="V315" s="284">
        <f t="shared" si="40"/>
        <v>8.6624999999999996</v>
      </c>
      <c r="W315" s="299"/>
      <c r="X315" s="299"/>
      <c r="Y315" s="287">
        <f t="shared" si="41"/>
        <v>46.875</v>
      </c>
      <c r="Z315" s="287">
        <v>750</v>
      </c>
      <c r="AA315" s="288">
        <v>11000</v>
      </c>
      <c r="AB315" s="261">
        <f t="shared" si="33"/>
        <v>0.25252525252525254</v>
      </c>
      <c r="AC315" s="261">
        <f t="shared" si="34"/>
        <v>4.0404040404040407</v>
      </c>
      <c r="AD315" s="282"/>
      <c r="AE315" s="290" t="s">
        <v>863</v>
      </c>
      <c r="AF315" s="291">
        <v>7</v>
      </c>
      <c r="AG315" s="292" t="s">
        <v>1034</v>
      </c>
      <c r="AH315" s="293" t="s">
        <v>946</v>
      </c>
    </row>
    <row r="316" spans="1:34" s="544" customFormat="1">
      <c r="A316" s="242" t="s">
        <v>853</v>
      </c>
      <c r="B316" s="282" t="s">
        <v>490</v>
      </c>
      <c r="C316" s="106" t="s">
        <v>812</v>
      </c>
      <c r="D316" s="490" t="s">
        <v>883</v>
      </c>
      <c r="E316" s="491" t="s">
        <v>883</v>
      </c>
      <c r="F316" s="501" t="s">
        <v>1094</v>
      </c>
      <c r="G316" s="412" t="s">
        <v>1094</v>
      </c>
      <c r="H316" s="411" t="s">
        <v>1094</v>
      </c>
      <c r="I316" s="412" t="s">
        <v>1094</v>
      </c>
      <c r="J316" s="490" t="s">
        <v>883</v>
      </c>
      <c r="K316" s="416">
        <f t="shared" si="32"/>
        <v>3.5046728971962614E-4</v>
      </c>
      <c r="L316" s="490" t="s">
        <v>883</v>
      </c>
      <c r="M316" s="401" t="s">
        <v>1094</v>
      </c>
      <c r="N316" s="401" t="s">
        <v>1094</v>
      </c>
      <c r="O316" s="401" t="s">
        <v>1094</v>
      </c>
      <c r="P316" s="401" t="s">
        <v>1094</v>
      </c>
      <c r="Q316" s="490" t="s">
        <v>883</v>
      </c>
      <c r="R316" s="401" t="s">
        <v>1094</v>
      </c>
      <c r="S316" s="401" t="s">
        <v>1094</v>
      </c>
      <c r="T316" s="490" t="s">
        <v>883</v>
      </c>
      <c r="U316" s="490" t="s">
        <v>883</v>
      </c>
      <c r="V316" s="284">
        <f t="shared" si="40"/>
        <v>1.7810747663551401</v>
      </c>
      <c r="W316" s="299"/>
      <c r="X316" s="299"/>
      <c r="Y316" s="287">
        <f t="shared" si="41"/>
        <v>18.75</v>
      </c>
      <c r="Z316" s="287">
        <v>300</v>
      </c>
      <c r="AA316" s="288">
        <v>53500</v>
      </c>
      <c r="AB316" s="261">
        <f t="shared" si="33"/>
        <v>1.2281910009182737</v>
      </c>
      <c r="AC316" s="261">
        <f t="shared" si="34"/>
        <v>19.651056014692379</v>
      </c>
      <c r="AD316" s="282"/>
      <c r="AE316" s="290" t="s">
        <v>294</v>
      </c>
      <c r="AF316" s="291">
        <v>5</v>
      </c>
      <c r="AG316" s="292" t="s">
        <v>1034</v>
      </c>
      <c r="AH316" s="293" t="s">
        <v>946</v>
      </c>
    </row>
    <row r="317" spans="1:34" s="544" customFormat="1">
      <c r="A317" s="242" t="s">
        <v>853</v>
      </c>
      <c r="B317" s="282" t="s">
        <v>491</v>
      </c>
      <c r="C317" s="121" t="s">
        <v>696</v>
      </c>
      <c r="D317" s="490" t="s">
        <v>883</v>
      </c>
      <c r="E317" s="490" t="s">
        <v>883</v>
      </c>
      <c r="F317" s="490" t="s">
        <v>1094</v>
      </c>
      <c r="G317" s="411" t="s">
        <v>1094</v>
      </c>
      <c r="H317" s="490" t="s">
        <v>1094</v>
      </c>
      <c r="I317" s="411" t="s">
        <v>1094</v>
      </c>
      <c r="J317" s="490" t="s">
        <v>883</v>
      </c>
      <c r="K317" s="416">
        <f t="shared" si="32"/>
        <v>2.6666666666666667E-5</v>
      </c>
      <c r="L317" s="401" t="s">
        <v>1094</v>
      </c>
      <c r="M317" s="401" t="s">
        <v>1094</v>
      </c>
      <c r="N317" s="401" t="s">
        <v>1094</v>
      </c>
      <c r="O317" s="401" t="s">
        <v>1094</v>
      </c>
      <c r="P317" s="401" t="s">
        <v>1094</v>
      </c>
      <c r="Q317" s="401" t="s">
        <v>1094</v>
      </c>
      <c r="R317" s="401" t="s">
        <v>1094</v>
      </c>
      <c r="S317" s="401" t="s">
        <v>1094</v>
      </c>
      <c r="T317" s="401" t="s">
        <v>1094</v>
      </c>
      <c r="U317" s="401" t="s">
        <v>1094</v>
      </c>
      <c r="V317" s="284">
        <f t="shared" si="40"/>
        <v>3.1762499999999999E-2</v>
      </c>
      <c r="W317" s="299"/>
      <c r="X317" s="299"/>
      <c r="Y317" s="287">
        <f t="shared" si="41"/>
        <v>80</v>
      </c>
      <c r="Z317" s="287">
        <v>1280</v>
      </c>
      <c r="AA317" s="288">
        <v>3000000</v>
      </c>
      <c r="AB317" s="261">
        <f t="shared" si="33"/>
        <v>68.870523415977956</v>
      </c>
      <c r="AC317" s="261">
        <f t="shared" si="34"/>
        <v>1101.9283746556473</v>
      </c>
      <c r="AD317" s="282"/>
      <c r="AE317" s="290" t="s">
        <v>294</v>
      </c>
      <c r="AF317" s="291">
        <v>3</v>
      </c>
      <c r="AG317" s="292" t="s">
        <v>1034</v>
      </c>
      <c r="AH317" s="293" t="s">
        <v>1236</v>
      </c>
    </row>
    <row r="318" spans="1:34" s="544" customFormat="1">
      <c r="A318" s="242" t="s">
        <v>853</v>
      </c>
      <c r="B318" s="282" t="s">
        <v>275</v>
      </c>
      <c r="C318" s="121" t="s">
        <v>774</v>
      </c>
      <c r="D318" s="490" t="s">
        <v>883</v>
      </c>
      <c r="E318" s="495" t="s">
        <v>1094</v>
      </c>
      <c r="F318" s="490" t="s">
        <v>1094</v>
      </c>
      <c r="G318" s="490" t="s">
        <v>883</v>
      </c>
      <c r="H318" s="411" t="s">
        <v>1094</v>
      </c>
      <c r="I318" s="411" t="s">
        <v>883</v>
      </c>
      <c r="J318" s="490" t="s">
        <v>1094</v>
      </c>
      <c r="K318" s="416">
        <f t="shared" si="32"/>
        <v>1.5625000000000001E-3</v>
      </c>
      <c r="L318" s="490" t="s">
        <v>883</v>
      </c>
      <c r="M318" s="401" t="s">
        <v>1094</v>
      </c>
      <c r="N318" s="490" t="s">
        <v>883</v>
      </c>
      <c r="O318" s="401" t="s">
        <v>1094</v>
      </c>
      <c r="P318" s="490" t="s">
        <v>883</v>
      </c>
      <c r="Q318" s="490" t="s">
        <v>883</v>
      </c>
      <c r="R318" s="401" t="s">
        <v>1094</v>
      </c>
      <c r="S318" s="401" t="s">
        <v>1094</v>
      </c>
      <c r="T318" s="490" t="s">
        <v>883</v>
      </c>
      <c r="U318" s="490" t="s">
        <v>883</v>
      </c>
      <c r="V318" s="284">
        <f t="shared" si="40"/>
        <v>10.5875</v>
      </c>
      <c r="W318" s="299"/>
      <c r="X318" s="299"/>
      <c r="Y318" s="287">
        <f t="shared" si="41"/>
        <v>14.0625</v>
      </c>
      <c r="Z318" s="287">
        <v>225</v>
      </c>
      <c r="AA318" s="288">
        <v>9000</v>
      </c>
      <c r="AB318" s="261">
        <f t="shared" si="33"/>
        <v>0.20661157024793389</v>
      </c>
      <c r="AC318" s="261">
        <f t="shared" si="34"/>
        <v>3.3057851239669422</v>
      </c>
      <c r="AD318" s="282"/>
      <c r="AE318" s="290" t="s">
        <v>294</v>
      </c>
      <c r="AF318" s="291">
        <v>4</v>
      </c>
      <c r="AG318" s="292" t="s">
        <v>1034</v>
      </c>
      <c r="AH318" s="293" t="s">
        <v>960</v>
      </c>
    </row>
    <row r="319" spans="1:34" s="544" customFormat="1">
      <c r="A319" s="242" t="s">
        <v>853</v>
      </c>
      <c r="B319" s="282" t="s">
        <v>512</v>
      </c>
      <c r="C319" s="106" t="s">
        <v>795</v>
      </c>
      <c r="D319" s="491" t="s">
        <v>1094</v>
      </c>
      <c r="E319" s="490" t="s">
        <v>1094</v>
      </c>
      <c r="F319" s="490" t="s">
        <v>883</v>
      </c>
      <c r="G319" s="411" t="s">
        <v>1094</v>
      </c>
      <c r="H319" s="411" t="s">
        <v>1094</v>
      </c>
      <c r="I319" s="490" t="s">
        <v>883</v>
      </c>
      <c r="J319" s="411" t="s">
        <v>1094</v>
      </c>
      <c r="K319" s="416">
        <f t="shared" si="32"/>
        <v>7.2727272727272723E-4</v>
      </c>
      <c r="L319" s="401" t="s">
        <v>1094</v>
      </c>
      <c r="M319" s="401" t="s">
        <v>1094</v>
      </c>
      <c r="N319" s="401" t="s">
        <v>1094</v>
      </c>
      <c r="O319" s="401" t="s">
        <v>1094</v>
      </c>
      <c r="P319" s="401" t="s">
        <v>1094</v>
      </c>
      <c r="Q319" s="401" t="s">
        <v>1094</v>
      </c>
      <c r="R319" s="401" t="s">
        <v>1094</v>
      </c>
      <c r="S319" s="401" t="s">
        <v>1094</v>
      </c>
      <c r="T319" s="401" t="s">
        <v>1094</v>
      </c>
      <c r="U319" s="401" t="s">
        <v>1094</v>
      </c>
      <c r="V319" s="284">
        <f t="shared" si="40"/>
        <v>0.34649999999999997</v>
      </c>
      <c r="W319" s="299"/>
      <c r="X319" s="299"/>
      <c r="Y319" s="287">
        <f t="shared" si="41"/>
        <v>200</v>
      </c>
      <c r="Z319" s="287">
        <v>3200</v>
      </c>
      <c r="AA319" s="288">
        <v>275000</v>
      </c>
      <c r="AB319" s="261">
        <f t="shared" si="33"/>
        <v>6.3131313131313131</v>
      </c>
      <c r="AC319" s="261">
        <f t="shared" si="34"/>
        <v>101.01010101010101</v>
      </c>
      <c r="AD319" s="282"/>
      <c r="AE319" s="290" t="s">
        <v>525</v>
      </c>
      <c r="AF319" s="291">
        <v>2</v>
      </c>
      <c r="AG319" s="292" t="s">
        <v>1034</v>
      </c>
      <c r="AH319" s="293" t="s">
        <v>1236</v>
      </c>
    </row>
    <row r="320" spans="1:34" s="544" customFormat="1">
      <c r="A320" s="242" t="s">
        <v>853</v>
      </c>
      <c r="B320" s="282" t="s">
        <v>492</v>
      </c>
      <c r="C320" s="121" t="s">
        <v>687</v>
      </c>
      <c r="D320" s="490" t="s">
        <v>883</v>
      </c>
      <c r="E320" s="490" t="s">
        <v>1094</v>
      </c>
      <c r="F320" s="490" t="s">
        <v>1094</v>
      </c>
      <c r="G320" s="411" t="s">
        <v>1094</v>
      </c>
      <c r="H320" s="411" t="s">
        <v>1094</v>
      </c>
      <c r="I320" s="490" t="s">
        <v>883</v>
      </c>
      <c r="J320" s="490" t="s">
        <v>883</v>
      </c>
      <c r="K320" s="416">
        <f t="shared" si="32"/>
        <v>1.0541666666666666E-2</v>
      </c>
      <c r="L320" s="401" t="s">
        <v>1094</v>
      </c>
      <c r="M320" s="401" t="s">
        <v>1094</v>
      </c>
      <c r="N320" s="401" t="s">
        <v>1094</v>
      </c>
      <c r="O320" s="401" t="s">
        <v>1094</v>
      </c>
      <c r="P320" s="401" t="s">
        <v>1094</v>
      </c>
      <c r="Q320" s="401" t="s">
        <v>1094</v>
      </c>
      <c r="R320" s="401" t="s">
        <v>1094</v>
      </c>
      <c r="S320" s="401" t="s">
        <v>1094</v>
      </c>
      <c r="T320" s="401" t="s">
        <v>1094</v>
      </c>
      <c r="U320" s="401" t="s">
        <v>1094</v>
      </c>
      <c r="V320" s="284">
        <f t="shared" si="40"/>
        <v>6.3525</v>
      </c>
      <c r="W320" s="299"/>
      <c r="X320" s="299"/>
      <c r="Y320" s="287">
        <f t="shared" si="41"/>
        <v>158.125</v>
      </c>
      <c r="Z320" s="287">
        <v>2530</v>
      </c>
      <c r="AA320" s="288">
        <v>15000</v>
      </c>
      <c r="AB320" s="261">
        <f t="shared" si="33"/>
        <v>0.34435261707988979</v>
      </c>
      <c r="AC320" s="261">
        <f t="shared" si="34"/>
        <v>5.5096418732782366</v>
      </c>
      <c r="AD320" s="282"/>
      <c r="AE320" s="290" t="s">
        <v>863</v>
      </c>
      <c r="AF320" s="291">
        <v>9</v>
      </c>
      <c r="AG320" s="292" t="s">
        <v>1034</v>
      </c>
      <c r="AH320" s="293" t="s">
        <v>946</v>
      </c>
    </row>
    <row r="321" spans="1:41" s="544" customFormat="1">
      <c r="A321" s="242" t="s">
        <v>853</v>
      </c>
      <c r="B321" s="282" t="s">
        <v>493</v>
      </c>
      <c r="C321" s="122" t="s">
        <v>523</v>
      </c>
      <c r="D321" s="496" t="s">
        <v>1094</v>
      </c>
      <c r="E321" s="490" t="s">
        <v>1094</v>
      </c>
      <c r="F321" s="490" t="s">
        <v>883</v>
      </c>
      <c r="G321" s="490" t="s">
        <v>883</v>
      </c>
      <c r="H321" s="411" t="s">
        <v>1094</v>
      </c>
      <c r="I321" s="490" t="s">
        <v>883</v>
      </c>
      <c r="J321" s="411" t="s">
        <v>1094</v>
      </c>
      <c r="K321" s="416">
        <f t="shared" si="32"/>
        <v>8.3333333333333332E-3</v>
      </c>
      <c r="L321" s="490" t="s">
        <v>883</v>
      </c>
      <c r="M321" s="401" t="s">
        <v>1094</v>
      </c>
      <c r="N321" s="401" t="s">
        <v>1094</v>
      </c>
      <c r="O321" s="490" t="s">
        <v>883</v>
      </c>
      <c r="P321" s="401" t="s">
        <v>1094</v>
      </c>
      <c r="Q321" s="490" t="s">
        <v>883</v>
      </c>
      <c r="R321" s="490" t="s">
        <v>883</v>
      </c>
      <c r="S321" s="401" t="s">
        <v>1094</v>
      </c>
      <c r="T321" s="490" t="s">
        <v>883</v>
      </c>
      <c r="U321" s="490" t="s">
        <v>883</v>
      </c>
      <c r="V321" s="284">
        <f t="shared" si="40"/>
        <v>19.8515625</v>
      </c>
      <c r="W321" s="299"/>
      <c r="X321" s="299"/>
      <c r="Y321" s="287">
        <f t="shared" si="41"/>
        <v>40</v>
      </c>
      <c r="Z321" s="287">
        <v>640</v>
      </c>
      <c r="AA321" s="288">
        <v>4800</v>
      </c>
      <c r="AB321" s="261">
        <f t="shared" si="33"/>
        <v>0.11019283746556474</v>
      </c>
      <c r="AC321" s="261">
        <f t="shared" si="34"/>
        <v>1.7630853994490359</v>
      </c>
      <c r="AD321" s="282"/>
      <c r="AE321" s="290" t="s">
        <v>294</v>
      </c>
      <c r="AF321" s="291">
        <v>5</v>
      </c>
      <c r="AG321" s="292" t="s">
        <v>1034</v>
      </c>
      <c r="AH321" s="293" t="s">
        <v>963</v>
      </c>
    </row>
    <row r="322" spans="1:41" s="544" customFormat="1">
      <c r="A322" s="242" t="s">
        <v>853</v>
      </c>
      <c r="B322" s="282" t="s">
        <v>494</v>
      </c>
      <c r="C322" s="121" t="s">
        <v>716</v>
      </c>
      <c r="D322" s="490" t="s">
        <v>1094</v>
      </c>
      <c r="E322" s="490" t="s">
        <v>883</v>
      </c>
      <c r="F322" s="490" t="s">
        <v>883</v>
      </c>
      <c r="G322" s="411" t="s">
        <v>1094</v>
      </c>
      <c r="H322" s="490" t="s">
        <v>883</v>
      </c>
      <c r="I322" s="490" t="s">
        <v>883</v>
      </c>
      <c r="J322" s="490" t="s">
        <v>883</v>
      </c>
      <c r="K322" s="416">
        <f t="shared" si="32"/>
        <v>2.8571428571428574E-4</v>
      </c>
      <c r="L322" s="490" t="s">
        <v>883</v>
      </c>
      <c r="M322" s="401" t="s">
        <v>1094</v>
      </c>
      <c r="N322" s="490" t="s">
        <v>883</v>
      </c>
      <c r="O322" s="401" t="s">
        <v>1094</v>
      </c>
      <c r="P322" s="490" t="s">
        <v>883</v>
      </c>
      <c r="Q322" s="401" t="s">
        <v>1094</v>
      </c>
      <c r="R322" s="401" t="s">
        <v>1094</v>
      </c>
      <c r="S322" s="490" t="s">
        <v>883</v>
      </c>
      <c r="T322" s="401" t="s">
        <v>1094</v>
      </c>
      <c r="U322" s="401" t="s">
        <v>1094</v>
      </c>
      <c r="V322" s="284">
        <f t="shared" si="40"/>
        <v>2.7225000000000001</v>
      </c>
      <c r="W322" s="299"/>
      <c r="X322" s="299"/>
      <c r="Y322" s="287">
        <f t="shared" si="41"/>
        <v>10</v>
      </c>
      <c r="Z322" s="287">
        <v>160</v>
      </c>
      <c r="AA322" s="288">
        <v>35000</v>
      </c>
      <c r="AB322" s="261">
        <f t="shared" si="33"/>
        <v>0.80348943985307619</v>
      </c>
      <c r="AC322" s="261">
        <f t="shared" si="34"/>
        <v>12.855831037649219</v>
      </c>
      <c r="AD322" s="282"/>
      <c r="AE322" s="290" t="s">
        <v>863</v>
      </c>
      <c r="AF322" s="291">
        <v>2</v>
      </c>
      <c r="AG322" s="292" t="s">
        <v>1036</v>
      </c>
      <c r="AH322" s="293" t="s">
        <v>973</v>
      </c>
      <c r="AL322" s="578"/>
    </row>
    <row r="323" spans="1:41" s="544" customFormat="1">
      <c r="A323" s="242" t="s">
        <v>853</v>
      </c>
      <c r="B323" s="282" t="s">
        <v>274</v>
      </c>
      <c r="C323" s="121" t="s">
        <v>759</v>
      </c>
      <c r="D323" s="490" t="s">
        <v>883</v>
      </c>
      <c r="E323" s="490" t="s">
        <v>883</v>
      </c>
      <c r="F323" s="490" t="s">
        <v>1094</v>
      </c>
      <c r="G323" s="411" t="s">
        <v>1094</v>
      </c>
      <c r="H323" s="490" t="s">
        <v>1094</v>
      </c>
      <c r="I323" s="411" t="s">
        <v>1094</v>
      </c>
      <c r="J323" s="490" t="s">
        <v>883</v>
      </c>
      <c r="K323" s="416">
        <f t="shared" si="32"/>
        <v>2.5000000000000001E-3</v>
      </c>
      <c r="L323" s="401" t="s">
        <v>1094</v>
      </c>
      <c r="M323" s="401" t="s">
        <v>1094</v>
      </c>
      <c r="N323" s="401" t="s">
        <v>1094</v>
      </c>
      <c r="O323" s="401" t="s">
        <v>1094</v>
      </c>
      <c r="P323" s="401" t="s">
        <v>1094</v>
      </c>
      <c r="Q323" s="401" t="s">
        <v>1094</v>
      </c>
      <c r="R323" s="401" t="s">
        <v>1094</v>
      </c>
      <c r="S323" s="401" t="s">
        <v>1094</v>
      </c>
      <c r="T323" s="401" t="s">
        <v>1094</v>
      </c>
      <c r="U323" s="401" t="s">
        <v>1094</v>
      </c>
      <c r="V323" s="284">
        <f t="shared" si="40"/>
        <v>5.9554687500000005</v>
      </c>
      <c r="W323" s="299"/>
      <c r="X323" s="299"/>
      <c r="Y323" s="287">
        <f t="shared" si="41"/>
        <v>40</v>
      </c>
      <c r="Z323" s="287">
        <v>640</v>
      </c>
      <c r="AA323" s="288">
        <v>16000</v>
      </c>
      <c r="AB323" s="261">
        <f t="shared" si="33"/>
        <v>0.3673094582185491</v>
      </c>
      <c r="AC323" s="261">
        <f t="shared" si="34"/>
        <v>5.8769513314967856</v>
      </c>
      <c r="AD323" s="282"/>
      <c r="AE323" s="290" t="s">
        <v>294</v>
      </c>
      <c r="AF323" s="291">
        <v>4</v>
      </c>
      <c r="AG323" s="292" t="s">
        <v>1034</v>
      </c>
      <c r="AH323" s="293"/>
    </row>
    <row r="324" spans="1:41" s="544" customFormat="1">
      <c r="A324" s="242" t="s">
        <v>853</v>
      </c>
      <c r="B324" s="282" t="s">
        <v>495</v>
      </c>
      <c r="C324" s="121" t="s">
        <v>658</v>
      </c>
      <c r="D324" s="490" t="s">
        <v>883</v>
      </c>
      <c r="E324" s="490" t="s">
        <v>1094</v>
      </c>
      <c r="F324" s="490" t="s">
        <v>1094</v>
      </c>
      <c r="G324" s="490" t="s">
        <v>883</v>
      </c>
      <c r="H324" s="490" t="s">
        <v>883</v>
      </c>
      <c r="I324" s="411" t="s">
        <v>1094</v>
      </c>
      <c r="J324" s="411" t="s">
        <v>1094</v>
      </c>
      <c r="K324" s="416">
        <f t="shared" si="32"/>
        <v>4.6874999999999998E-4</v>
      </c>
      <c r="L324" s="490" t="s">
        <v>883</v>
      </c>
      <c r="M324" s="490" t="s">
        <v>883</v>
      </c>
      <c r="N324" s="490" t="s">
        <v>883</v>
      </c>
      <c r="O324" s="490" t="s">
        <v>883</v>
      </c>
      <c r="P324" s="401" t="s">
        <v>1094</v>
      </c>
      <c r="Q324" s="401" t="s">
        <v>1094</v>
      </c>
      <c r="R324" s="490" t="s">
        <v>883</v>
      </c>
      <c r="S324" s="490" t="s">
        <v>883</v>
      </c>
      <c r="T324" s="490" t="s">
        <v>883</v>
      </c>
      <c r="U324" s="490" t="s">
        <v>883</v>
      </c>
      <c r="V324" s="284">
        <f t="shared" si="40"/>
        <v>4.7643750000000002</v>
      </c>
      <c r="W324" s="299"/>
      <c r="X324" s="299"/>
      <c r="Y324" s="287">
        <f t="shared" si="41"/>
        <v>9.375</v>
      </c>
      <c r="Z324" s="287">
        <v>150</v>
      </c>
      <c r="AA324" s="288">
        <v>20000</v>
      </c>
      <c r="AB324" s="261">
        <f>(AA324/43560)</f>
        <v>0.4591368227731864</v>
      </c>
      <c r="AC324" s="261">
        <f>AB324*16</f>
        <v>7.3461891643709825</v>
      </c>
      <c r="AD324" s="282"/>
      <c r="AE324" s="290" t="s">
        <v>863</v>
      </c>
      <c r="AF324" s="291">
        <v>6</v>
      </c>
      <c r="AG324" s="292" t="s">
        <v>1034</v>
      </c>
      <c r="AH324" s="377" t="s">
        <v>946</v>
      </c>
    </row>
    <row r="325" spans="1:41" s="544" customFormat="1">
      <c r="A325" s="242" t="s">
        <v>853</v>
      </c>
      <c r="B325" s="282" t="s">
        <v>496</v>
      </c>
      <c r="C325" s="106" t="s">
        <v>787</v>
      </c>
      <c r="D325" s="503" t="s">
        <v>883</v>
      </c>
      <c r="E325" s="490" t="s">
        <v>1094</v>
      </c>
      <c r="F325" s="490" t="s">
        <v>1094</v>
      </c>
      <c r="G325" s="490" t="s">
        <v>883</v>
      </c>
      <c r="H325" s="411" t="s">
        <v>1094</v>
      </c>
      <c r="I325" s="490" t="s">
        <v>883</v>
      </c>
      <c r="J325" s="411" t="s">
        <v>1094</v>
      </c>
      <c r="K325" s="416">
        <f t="shared" si="32"/>
        <v>2.0833333333333335E-4</v>
      </c>
      <c r="L325" s="490" t="s">
        <v>883</v>
      </c>
      <c r="M325" s="401" t="s">
        <v>1094</v>
      </c>
      <c r="N325" s="490" t="s">
        <v>883</v>
      </c>
      <c r="O325" s="490" t="s">
        <v>883</v>
      </c>
      <c r="P325" s="490" t="s">
        <v>883</v>
      </c>
      <c r="Q325" s="490" t="s">
        <v>883</v>
      </c>
      <c r="R325" s="401" t="s">
        <v>1094</v>
      </c>
      <c r="S325" s="490" t="s">
        <v>883</v>
      </c>
      <c r="T325" s="490" t="s">
        <v>883</v>
      </c>
      <c r="U325" s="490" t="s">
        <v>883</v>
      </c>
      <c r="V325" s="284">
        <f t="shared" si="40"/>
        <v>1.0587500000000001</v>
      </c>
      <c r="W325" s="299"/>
      <c r="X325" s="299"/>
      <c r="Y325" s="287">
        <f t="shared" si="41"/>
        <v>18.75</v>
      </c>
      <c r="Z325" s="287">
        <v>300</v>
      </c>
      <c r="AA325" s="288">
        <v>90000</v>
      </c>
      <c r="AB325" s="261">
        <f>(AA325/43560)</f>
        <v>2.0661157024793386</v>
      </c>
      <c r="AC325" s="261">
        <f>AB325*16</f>
        <v>33.057851239669418</v>
      </c>
      <c r="AD325" s="282"/>
      <c r="AE325" s="290" t="s">
        <v>294</v>
      </c>
      <c r="AF325" s="291">
        <v>4</v>
      </c>
      <c r="AG325" s="292" t="s">
        <v>1034</v>
      </c>
      <c r="AH325" s="293" t="s">
        <v>955</v>
      </c>
    </row>
    <row r="326" spans="1:41" s="544" customFormat="1">
      <c r="A326" s="242" t="s">
        <v>853</v>
      </c>
      <c r="B326" s="282" t="s">
        <v>497</v>
      </c>
      <c r="C326" s="121" t="s">
        <v>760</v>
      </c>
      <c r="D326" s="490" t="s">
        <v>1094</v>
      </c>
      <c r="E326" s="490" t="s">
        <v>883</v>
      </c>
      <c r="F326" s="490" t="s">
        <v>883</v>
      </c>
      <c r="G326" s="411" t="s">
        <v>1094</v>
      </c>
      <c r="H326" s="411" t="s">
        <v>1094</v>
      </c>
      <c r="I326" s="490" t="s">
        <v>883</v>
      </c>
      <c r="J326" s="411" t="s">
        <v>1094</v>
      </c>
      <c r="K326" s="416">
        <f t="shared" si="32"/>
        <v>9.3749999999999997E-3</v>
      </c>
      <c r="L326" s="401" t="s">
        <v>1094</v>
      </c>
      <c r="M326" s="401" t="s">
        <v>1094</v>
      </c>
      <c r="N326" s="401" t="s">
        <v>1094</v>
      </c>
      <c r="O326" s="401" t="s">
        <v>1094</v>
      </c>
      <c r="P326" s="401" t="s">
        <v>1094</v>
      </c>
      <c r="Q326" s="401" t="s">
        <v>1094</v>
      </c>
      <c r="R326" s="401" t="s">
        <v>1094</v>
      </c>
      <c r="S326" s="401" t="s">
        <v>1094</v>
      </c>
      <c r="T326" s="401" t="s">
        <v>1094</v>
      </c>
      <c r="U326" s="401" t="s">
        <v>1094</v>
      </c>
      <c r="V326" s="284">
        <f t="shared" si="40"/>
        <v>15.88125</v>
      </c>
      <c r="W326" s="299"/>
      <c r="X326" s="299"/>
      <c r="Y326" s="287">
        <f t="shared" si="41"/>
        <v>56.25</v>
      </c>
      <c r="Z326" s="287">
        <v>900</v>
      </c>
      <c r="AA326" s="288">
        <v>6000</v>
      </c>
      <c r="AB326" s="261">
        <f>(AA326/43560)</f>
        <v>0.13774104683195593</v>
      </c>
      <c r="AC326" s="261">
        <f>AB326*16</f>
        <v>2.2038567493112948</v>
      </c>
      <c r="AD326" s="282"/>
      <c r="AE326" s="290" t="s">
        <v>525</v>
      </c>
      <c r="AF326" s="291">
        <v>9</v>
      </c>
      <c r="AG326" s="292" t="s">
        <v>1034</v>
      </c>
      <c r="AH326" s="293" t="s">
        <v>1001</v>
      </c>
    </row>
    <row r="327" spans="1:41" s="544" customFormat="1">
      <c r="A327" s="242" t="s">
        <v>853</v>
      </c>
      <c r="B327" s="282" t="s">
        <v>538</v>
      </c>
      <c r="C327" s="121" t="s">
        <v>754</v>
      </c>
      <c r="D327" s="490" t="s">
        <v>883</v>
      </c>
      <c r="E327" s="490" t="s">
        <v>1094</v>
      </c>
      <c r="F327" s="490" t="s">
        <v>883</v>
      </c>
      <c r="G327" s="490" t="s">
        <v>883</v>
      </c>
      <c r="H327" s="411" t="s">
        <v>1094</v>
      </c>
      <c r="I327" s="490" t="s">
        <v>883</v>
      </c>
      <c r="J327" s="411" t="s">
        <v>1094</v>
      </c>
      <c r="K327" s="416">
        <f t="shared" si="32"/>
        <v>9.5238095238095238E-4</v>
      </c>
      <c r="L327" s="490" t="s">
        <v>883</v>
      </c>
      <c r="M327" s="401" t="s">
        <v>1094</v>
      </c>
      <c r="N327" s="401" t="s">
        <v>1094</v>
      </c>
      <c r="O327" s="401" t="s">
        <v>1094</v>
      </c>
      <c r="P327" s="401" t="s">
        <v>1094</v>
      </c>
      <c r="Q327" s="490" t="s">
        <v>883</v>
      </c>
      <c r="R327" s="401" t="s">
        <v>1094</v>
      </c>
      <c r="S327" s="401" t="s">
        <v>1094</v>
      </c>
      <c r="T327" s="401" t="s">
        <v>1094</v>
      </c>
      <c r="U327" s="401" t="s">
        <v>1094</v>
      </c>
      <c r="V327" s="284">
        <f t="shared" si="40"/>
        <v>1.1343750000000001</v>
      </c>
      <c r="W327" s="299"/>
      <c r="X327" s="299"/>
      <c r="Y327" s="287">
        <v>80</v>
      </c>
      <c r="Z327" s="287">
        <v>1280</v>
      </c>
      <c r="AA327" s="288">
        <v>84000</v>
      </c>
      <c r="AB327" s="261">
        <f>(AA327/43560)</f>
        <v>1.9283746556473829</v>
      </c>
      <c r="AC327" s="261">
        <f>AB327*16</f>
        <v>30.853994490358126</v>
      </c>
      <c r="AD327" s="282"/>
      <c r="AE327" s="290" t="s">
        <v>294</v>
      </c>
      <c r="AF327" s="291">
        <v>6</v>
      </c>
      <c r="AG327" s="292" t="s">
        <v>1034</v>
      </c>
      <c r="AH327" s="377" t="s">
        <v>1236</v>
      </c>
    </row>
    <row r="328" spans="1:41" s="544" customFormat="1">
      <c r="A328" s="529"/>
      <c r="B328" s="530"/>
      <c r="C328" s="550"/>
      <c r="D328" s="547" t="s">
        <v>883</v>
      </c>
      <c r="E328" s="547" t="s">
        <v>883</v>
      </c>
      <c r="F328" s="547" t="s">
        <v>883</v>
      </c>
      <c r="G328" s="547" t="s">
        <v>883</v>
      </c>
      <c r="H328" s="548" t="s">
        <v>883</v>
      </c>
      <c r="I328" s="547" t="s">
        <v>883</v>
      </c>
      <c r="J328" s="548" t="s">
        <v>883</v>
      </c>
      <c r="K328" s="533"/>
      <c r="L328" s="547" t="s">
        <v>883</v>
      </c>
      <c r="M328" s="547" t="s">
        <v>883</v>
      </c>
      <c r="N328" s="547" t="s">
        <v>883</v>
      </c>
      <c r="O328" s="547" t="s">
        <v>883</v>
      </c>
      <c r="P328" s="533" t="s">
        <v>883</v>
      </c>
      <c r="Q328" s="547" t="s">
        <v>883</v>
      </c>
      <c r="R328" s="547" t="s">
        <v>883</v>
      </c>
      <c r="S328" s="547" t="s">
        <v>883</v>
      </c>
      <c r="T328" s="547" t="s">
        <v>883</v>
      </c>
      <c r="U328" s="547" t="s">
        <v>883</v>
      </c>
      <c r="V328" s="534"/>
      <c r="W328" s="535"/>
      <c r="X328" s="536"/>
      <c r="Y328" s="537"/>
      <c r="Z328" s="537"/>
      <c r="AA328" s="538"/>
      <c r="AB328" s="516"/>
      <c r="AC328" s="516"/>
      <c r="AD328" s="539"/>
      <c r="AE328" s="540"/>
      <c r="AF328" s="541"/>
      <c r="AG328" s="542"/>
      <c r="AH328" s="543"/>
    </row>
    <row r="329" spans="1:41" s="544" customFormat="1">
      <c r="A329" s="529"/>
      <c r="B329" s="530"/>
      <c r="C329" s="552"/>
      <c r="D329" s="553" t="s">
        <v>883</v>
      </c>
      <c r="E329" s="547" t="s">
        <v>883</v>
      </c>
      <c r="F329" s="547" t="s">
        <v>883</v>
      </c>
      <c r="G329" s="547" t="s">
        <v>883</v>
      </c>
      <c r="H329" s="548" t="s">
        <v>883</v>
      </c>
      <c r="I329" s="547" t="s">
        <v>883</v>
      </c>
      <c r="J329" s="548" t="s">
        <v>883</v>
      </c>
      <c r="K329" s="533"/>
      <c r="L329" s="547" t="s">
        <v>883</v>
      </c>
      <c r="M329" s="547" t="s">
        <v>883</v>
      </c>
      <c r="N329" s="547" t="s">
        <v>883</v>
      </c>
      <c r="O329" s="547" t="s">
        <v>883</v>
      </c>
      <c r="P329" s="547" t="s">
        <v>883</v>
      </c>
      <c r="Q329" s="547" t="s">
        <v>883</v>
      </c>
      <c r="R329" s="547" t="s">
        <v>883</v>
      </c>
      <c r="S329" s="533" t="s">
        <v>883</v>
      </c>
      <c r="T329" s="547" t="s">
        <v>883</v>
      </c>
      <c r="U329" s="547" t="s">
        <v>883</v>
      </c>
      <c r="V329" s="534"/>
      <c r="W329" s="535"/>
      <c r="X329" s="536"/>
      <c r="Y329" s="537"/>
      <c r="Z329" s="537"/>
      <c r="AA329" s="538"/>
      <c r="AB329" s="516"/>
      <c r="AC329" s="516"/>
      <c r="AD329" s="539"/>
      <c r="AE329" s="540"/>
      <c r="AF329" s="541"/>
      <c r="AG329" s="542"/>
      <c r="AH329" s="543"/>
    </row>
    <row r="330" spans="1:41" s="107" customFormat="1">
      <c r="A330" s="242"/>
      <c r="B330" s="297"/>
      <c r="C330" s="224"/>
      <c r="D330" s="493" t="s">
        <v>883</v>
      </c>
      <c r="E330" s="492" t="s">
        <v>883</v>
      </c>
      <c r="F330" s="493" t="s">
        <v>883</v>
      </c>
      <c r="G330" s="493" t="s">
        <v>883</v>
      </c>
      <c r="H330" s="493" t="s">
        <v>883</v>
      </c>
      <c r="I330" s="493" t="s">
        <v>883</v>
      </c>
      <c r="J330" s="414" t="s">
        <v>883</v>
      </c>
      <c r="K330" s="416" t="e">
        <f t="shared" ref="K330:K351" si="42">Y330/AA330</f>
        <v>#DIV/0!</v>
      </c>
      <c r="L330" s="492" t="s">
        <v>883</v>
      </c>
      <c r="M330" s="492" t="s">
        <v>883</v>
      </c>
      <c r="N330" s="492" t="s">
        <v>883</v>
      </c>
      <c r="O330" s="492" t="s">
        <v>883</v>
      </c>
      <c r="P330" s="416" t="s">
        <v>883</v>
      </c>
      <c r="Q330" s="492" t="s">
        <v>883</v>
      </c>
      <c r="R330" s="492" t="s">
        <v>883</v>
      </c>
      <c r="S330" s="492" t="s">
        <v>883</v>
      </c>
      <c r="T330" s="492" t="s">
        <v>883</v>
      </c>
      <c r="U330" s="492" t="s">
        <v>883</v>
      </c>
      <c r="V330" s="284" t="e">
        <f t="shared" ref="V330:V351" si="43">35/AC330</f>
        <v>#DIV/0!</v>
      </c>
      <c r="W330" s="279"/>
      <c r="X330" s="279"/>
      <c r="Y330" s="287"/>
      <c r="Z330" s="287"/>
      <c r="AA330" s="295"/>
      <c r="AB330" s="261">
        <f t="shared" ref="AB330:AB351" si="44">(AA330/43560)</f>
        <v>0</v>
      </c>
      <c r="AC330" s="261">
        <f t="shared" ref="AC330:AC351" si="45">AB330*16</f>
        <v>0</v>
      </c>
      <c r="AD330" s="297"/>
      <c r="AE330" s="290"/>
      <c r="AF330" s="296"/>
      <c r="AG330" s="298"/>
      <c r="AH330" s="293"/>
    </row>
    <row r="331" spans="1:41" s="107" customFormat="1">
      <c r="A331" s="242"/>
      <c r="B331" s="297"/>
      <c r="C331" s="224"/>
      <c r="D331" s="492" t="s">
        <v>883</v>
      </c>
      <c r="E331" s="493" t="s">
        <v>883</v>
      </c>
      <c r="F331" s="493" t="s">
        <v>883</v>
      </c>
      <c r="G331" s="414" t="s">
        <v>883</v>
      </c>
      <c r="H331" s="414" t="s">
        <v>883</v>
      </c>
      <c r="I331" s="493" t="s">
        <v>883</v>
      </c>
      <c r="J331" s="492" t="s">
        <v>883</v>
      </c>
      <c r="K331" s="416" t="e">
        <f t="shared" si="42"/>
        <v>#DIV/0!</v>
      </c>
      <c r="L331" s="492" t="s">
        <v>883</v>
      </c>
      <c r="M331" s="492" t="s">
        <v>883</v>
      </c>
      <c r="N331" s="492" t="s">
        <v>883</v>
      </c>
      <c r="O331" s="492" t="s">
        <v>883</v>
      </c>
      <c r="P331" s="416" t="s">
        <v>883</v>
      </c>
      <c r="Q331" s="492" t="s">
        <v>883</v>
      </c>
      <c r="R331" s="492" t="s">
        <v>883</v>
      </c>
      <c r="S331" s="492" t="s">
        <v>883</v>
      </c>
      <c r="T331" s="492" t="s">
        <v>883</v>
      </c>
      <c r="U331" s="492" t="s">
        <v>883</v>
      </c>
      <c r="V331" s="284" t="e">
        <f t="shared" si="43"/>
        <v>#DIV/0!</v>
      </c>
      <c r="W331" s="279"/>
      <c r="X331" s="279"/>
      <c r="Y331" s="287"/>
      <c r="Z331" s="287"/>
      <c r="AA331" s="295"/>
      <c r="AB331" s="261">
        <f t="shared" si="44"/>
        <v>0</v>
      </c>
      <c r="AC331" s="261">
        <f t="shared" si="45"/>
        <v>0</v>
      </c>
      <c r="AD331" s="297"/>
      <c r="AE331" s="290"/>
      <c r="AF331" s="296"/>
      <c r="AG331" s="298"/>
      <c r="AH331" s="293"/>
    </row>
    <row r="332" spans="1:41" s="107" customFormat="1">
      <c r="A332" s="242"/>
      <c r="B332" s="282"/>
      <c r="C332" s="121"/>
      <c r="D332" s="493" t="s">
        <v>883</v>
      </c>
      <c r="E332" s="493" t="s">
        <v>883</v>
      </c>
      <c r="F332" s="493" t="s">
        <v>883</v>
      </c>
      <c r="G332" s="283" t="s">
        <v>883</v>
      </c>
      <c r="H332" s="283" t="s">
        <v>883</v>
      </c>
      <c r="I332" s="493" t="s">
        <v>883</v>
      </c>
      <c r="J332" s="493" t="s">
        <v>883</v>
      </c>
      <c r="K332" s="416" t="e">
        <f t="shared" si="42"/>
        <v>#DIV/0!</v>
      </c>
      <c r="L332" s="416" t="s">
        <v>883</v>
      </c>
      <c r="M332" s="416" t="s">
        <v>883</v>
      </c>
      <c r="N332" s="416" t="s">
        <v>883</v>
      </c>
      <c r="O332" s="416" t="s">
        <v>883</v>
      </c>
      <c r="P332" s="416" t="s">
        <v>883</v>
      </c>
      <c r="Q332" s="416" t="s">
        <v>883</v>
      </c>
      <c r="R332" s="416" t="s">
        <v>883</v>
      </c>
      <c r="S332" s="416" t="s">
        <v>883</v>
      </c>
      <c r="T332" s="416" t="s">
        <v>883</v>
      </c>
      <c r="U332" s="416" t="s">
        <v>883</v>
      </c>
      <c r="V332" s="284" t="e">
        <f t="shared" si="43"/>
        <v>#DIV/0!</v>
      </c>
      <c r="W332" s="285"/>
      <c r="X332" s="286"/>
      <c r="Y332" s="287"/>
      <c r="Z332" s="287"/>
      <c r="AA332" s="288"/>
      <c r="AB332" s="261">
        <f t="shared" si="44"/>
        <v>0</v>
      </c>
      <c r="AC332" s="261">
        <f t="shared" si="45"/>
        <v>0</v>
      </c>
      <c r="AD332" s="289"/>
      <c r="AE332" s="290"/>
      <c r="AF332" s="291"/>
      <c r="AG332" s="292"/>
      <c r="AH332" s="293"/>
    </row>
    <row r="333" spans="1:41" s="209" customFormat="1">
      <c r="A333" s="242"/>
      <c r="B333" s="282"/>
      <c r="C333" s="121"/>
      <c r="D333" s="493" t="s">
        <v>883</v>
      </c>
      <c r="E333" s="493" t="s">
        <v>883</v>
      </c>
      <c r="F333" s="493" t="s">
        <v>883</v>
      </c>
      <c r="G333" s="493" t="s">
        <v>883</v>
      </c>
      <c r="H333" s="493" t="s">
        <v>883</v>
      </c>
      <c r="I333" s="493" t="s">
        <v>883</v>
      </c>
      <c r="J333" s="283" t="s">
        <v>883</v>
      </c>
      <c r="K333" s="416" t="e">
        <f t="shared" si="42"/>
        <v>#DIV/0!</v>
      </c>
      <c r="L333" s="416" t="s">
        <v>883</v>
      </c>
      <c r="M333" s="416" t="s">
        <v>883</v>
      </c>
      <c r="N333" s="416" t="s">
        <v>883</v>
      </c>
      <c r="O333" s="416" t="s">
        <v>883</v>
      </c>
      <c r="P333" s="416" t="s">
        <v>883</v>
      </c>
      <c r="Q333" s="416" t="s">
        <v>883</v>
      </c>
      <c r="R333" s="416" t="s">
        <v>883</v>
      </c>
      <c r="S333" s="416" t="s">
        <v>883</v>
      </c>
      <c r="T333" s="416" t="s">
        <v>883</v>
      </c>
      <c r="U333" s="416" t="s">
        <v>883</v>
      </c>
      <c r="V333" s="284" t="e">
        <f t="shared" si="43"/>
        <v>#DIV/0!</v>
      </c>
      <c r="W333" s="285"/>
      <c r="X333" s="286"/>
      <c r="Y333" s="287"/>
      <c r="Z333" s="287"/>
      <c r="AA333" s="288"/>
      <c r="AB333" s="261">
        <f t="shared" si="44"/>
        <v>0</v>
      </c>
      <c r="AC333" s="261">
        <f t="shared" si="45"/>
        <v>0</v>
      </c>
      <c r="AD333" s="289"/>
      <c r="AE333" s="290"/>
      <c r="AF333" s="291"/>
      <c r="AG333" s="292"/>
      <c r="AH333" s="293"/>
      <c r="AI333" s="107"/>
      <c r="AJ333" s="107"/>
      <c r="AK333" s="107"/>
      <c r="AL333" s="107"/>
      <c r="AM333" s="107"/>
      <c r="AN333" s="107"/>
      <c r="AO333" s="107"/>
    </row>
    <row r="334" spans="1:41" s="107" customFormat="1">
      <c r="A334" s="242"/>
      <c r="B334" s="282"/>
      <c r="C334" s="121"/>
      <c r="D334" s="493" t="s">
        <v>883</v>
      </c>
      <c r="E334" s="493" t="s">
        <v>883</v>
      </c>
      <c r="F334" s="493" t="s">
        <v>883</v>
      </c>
      <c r="G334" s="493" t="s">
        <v>883</v>
      </c>
      <c r="H334" s="283" t="s">
        <v>883</v>
      </c>
      <c r="I334" s="493" t="s">
        <v>883</v>
      </c>
      <c r="J334" s="283" t="s">
        <v>883</v>
      </c>
      <c r="K334" s="416" t="e">
        <f t="shared" si="42"/>
        <v>#DIV/0!</v>
      </c>
      <c r="L334" s="493" t="s">
        <v>883</v>
      </c>
      <c r="M334" s="416" t="s">
        <v>883</v>
      </c>
      <c r="N334" s="493" t="s">
        <v>883</v>
      </c>
      <c r="O334" s="493" t="s">
        <v>883</v>
      </c>
      <c r="P334" s="493" t="s">
        <v>883</v>
      </c>
      <c r="Q334" s="493" t="s">
        <v>883</v>
      </c>
      <c r="R334" s="416" t="s">
        <v>883</v>
      </c>
      <c r="S334" s="416" t="s">
        <v>883</v>
      </c>
      <c r="T334" s="416" t="s">
        <v>883</v>
      </c>
      <c r="U334" s="493" t="s">
        <v>883</v>
      </c>
      <c r="V334" s="284" t="e">
        <f t="shared" si="43"/>
        <v>#DIV/0!</v>
      </c>
      <c r="W334" s="285"/>
      <c r="X334" s="286"/>
      <c r="Y334" s="287"/>
      <c r="Z334" s="287"/>
      <c r="AA334" s="286"/>
      <c r="AB334" s="261">
        <f t="shared" si="44"/>
        <v>0</v>
      </c>
      <c r="AC334" s="261">
        <f t="shared" si="45"/>
        <v>0</v>
      </c>
      <c r="AD334" s="289"/>
      <c r="AE334" s="282"/>
      <c r="AF334" s="291"/>
      <c r="AG334" s="292"/>
      <c r="AH334" s="293"/>
    </row>
    <row r="335" spans="1:41" s="107" customFormat="1">
      <c r="A335" s="242"/>
      <c r="B335" s="282"/>
      <c r="C335" s="121"/>
      <c r="D335" s="493" t="s">
        <v>883</v>
      </c>
      <c r="E335" s="493" t="s">
        <v>883</v>
      </c>
      <c r="F335" s="493" t="s">
        <v>883</v>
      </c>
      <c r="G335" s="493" t="s">
        <v>883</v>
      </c>
      <c r="H335" s="493" t="s">
        <v>883</v>
      </c>
      <c r="I335" s="493" t="s">
        <v>883</v>
      </c>
      <c r="J335" s="283" t="s">
        <v>883</v>
      </c>
      <c r="K335" s="416" t="e">
        <f t="shared" si="42"/>
        <v>#DIV/0!</v>
      </c>
      <c r="L335" s="416" t="s">
        <v>883</v>
      </c>
      <c r="M335" s="416" t="s">
        <v>883</v>
      </c>
      <c r="N335" s="416" t="s">
        <v>883</v>
      </c>
      <c r="O335" s="416" t="s">
        <v>883</v>
      </c>
      <c r="P335" s="416" t="s">
        <v>883</v>
      </c>
      <c r="Q335" s="416" t="s">
        <v>883</v>
      </c>
      <c r="R335" s="416" t="s">
        <v>883</v>
      </c>
      <c r="S335" s="416" t="s">
        <v>883</v>
      </c>
      <c r="T335" s="416" t="s">
        <v>883</v>
      </c>
      <c r="U335" s="416" t="s">
        <v>883</v>
      </c>
      <c r="V335" s="284" t="e">
        <f t="shared" si="43"/>
        <v>#DIV/0!</v>
      </c>
      <c r="W335" s="285"/>
      <c r="X335" s="286"/>
      <c r="Y335" s="287"/>
      <c r="Z335" s="287"/>
      <c r="AA335" s="288"/>
      <c r="AB335" s="261">
        <f t="shared" si="44"/>
        <v>0</v>
      </c>
      <c r="AC335" s="261">
        <f t="shared" si="45"/>
        <v>0</v>
      </c>
      <c r="AD335" s="289"/>
      <c r="AE335" s="290"/>
      <c r="AF335" s="291"/>
      <c r="AG335" s="292"/>
      <c r="AH335" s="293"/>
    </row>
    <row r="336" spans="1:41" s="107" customFormat="1">
      <c r="A336" s="242"/>
      <c r="B336" s="282"/>
      <c r="C336" s="121"/>
      <c r="D336" s="492" t="s">
        <v>883</v>
      </c>
      <c r="E336" s="493" t="s">
        <v>883</v>
      </c>
      <c r="F336" s="493" t="s">
        <v>883</v>
      </c>
      <c r="G336" s="283" t="s">
        <v>883</v>
      </c>
      <c r="H336" s="493" t="s">
        <v>883</v>
      </c>
      <c r="I336" s="493" t="s">
        <v>883</v>
      </c>
      <c r="J336" s="493" t="s">
        <v>883</v>
      </c>
      <c r="K336" s="416" t="e">
        <f t="shared" si="42"/>
        <v>#DIV/0!</v>
      </c>
      <c r="L336" s="493" t="s">
        <v>883</v>
      </c>
      <c r="M336" s="416" t="s">
        <v>883</v>
      </c>
      <c r="N336" s="416" t="s">
        <v>883</v>
      </c>
      <c r="O336" s="416" t="s">
        <v>883</v>
      </c>
      <c r="P336" s="416" t="s">
        <v>883</v>
      </c>
      <c r="Q336" s="493" t="s">
        <v>883</v>
      </c>
      <c r="R336" s="416" t="s">
        <v>883</v>
      </c>
      <c r="S336" s="416" t="s">
        <v>883</v>
      </c>
      <c r="T336" s="493" t="s">
        <v>883</v>
      </c>
      <c r="U336" s="493" t="s">
        <v>883</v>
      </c>
      <c r="V336" s="284" t="e">
        <f t="shared" si="43"/>
        <v>#DIV/0!</v>
      </c>
      <c r="W336" s="285"/>
      <c r="X336" s="286"/>
      <c r="Y336" s="287"/>
      <c r="Z336" s="287"/>
      <c r="AA336" s="288"/>
      <c r="AB336" s="261">
        <f t="shared" si="44"/>
        <v>0</v>
      </c>
      <c r="AC336" s="261">
        <f t="shared" si="45"/>
        <v>0</v>
      </c>
      <c r="AD336" s="289"/>
      <c r="AE336" s="290"/>
      <c r="AF336" s="291"/>
      <c r="AG336" s="292"/>
      <c r="AH336" s="293"/>
    </row>
    <row r="337" spans="1:38" s="107" customFormat="1">
      <c r="A337" s="242"/>
      <c r="B337" s="282"/>
      <c r="C337" s="106"/>
      <c r="D337" s="491" t="s">
        <v>883</v>
      </c>
      <c r="E337" s="493" t="s">
        <v>883</v>
      </c>
      <c r="F337" s="493" t="s">
        <v>883</v>
      </c>
      <c r="G337" s="283" t="s">
        <v>883</v>
      </c>
      <c r="H337" s="283" t="s">
        <v>883</v>
      </c>
      <c r="I337" s="493" t="s">
        <v>883</v>
      </c>
      <c r="J337" s="283" t="s">
        <v>883</v>
      </c>
      <c r="K337" s="416" t="e">
        <f t="shared" si="42"/>
        <v>#DIV/0!</v>
      </c>
      <c r="L337" s="416" t="s">
        <v>883</v>
      </c>
      <c r="M337" s="416" t="s">
        <v>883</v>
      </c>
      <c r="N337" s="416" t="s">
        <v>883</v>
      </c>
      <c r="O337" s="416" t="s">
        <v>883</v>
      </c>
      <c r="P337" s="416" t="s">
        <v>883</v>
      </c>
      <c r="Q337" s="416" t="s">
        <v>883</v>
      </c>
      <c r="R337" s="416" t="s">
        <v>883</v>
      </c>
      <c r="S337" s="416" t="s">
        <v>883</v>
      </c>
      <c r="T337" s="416" t="s">
        <v>883</v>
      </c>
      <c r="U337" s="416" t="s">
        <v>883</v>
      </c>
      <c r="V337" s="284" t="e">
        <f t="shared" si="43"/>
        <v>#DIV/0!</v>
      </c>
      <c r="W337" s="285"/>
      <c r="X337" s="286"/>
      <c r="Y337" s="287"/>
      <c r="Z337" s="287"/>
      <c r="AA337" s="288"/>
      <c r="AB337" s="261">
        <f t="shared" si="44"/>
        <v>0</v>
      </c>
      <c r="AC337" s="261">
        <f t="shared" si="45"/>
        <v>0</v>
      </c>
      <c r="AD337" s="289"/>
      <c r="AE337" s="290"/>
      <c r="AF337" s="291"/>
      <c r="AG337" s="292"/>
      <c r="AH337" s="293"/>
      <c r="AK337" s="220"/>
      <c r="AL337" s="220"/>
    </row>
    <row r="338" spans="1:38" s="107" customFormat="1">
      <c r="A338" s="242"/>
      <c r="B338" s="282"/>
      <c r="C338" s="121"/>
      <c r="D338" s="493" t="s">
        <v>883</v>
      </c>
      <c r="E338" s="493" t="s">
        <v>883</v>
      </c>
      <c r="F338" s="493" t="s">
        <v>883</v>
      </c>
      <c r="G338" s="493" t="s">
        <v>883</v>
      </c>
      <c r="H338" s="283" t="s">
        <v>883</v>
      </c>
      <c r="I338" s="493" t="s">
        <v>883</v>
      </c>
      <c r="J338" s="283" t="s">
        <v>883</v>
      </c>
      <c r="K338" s="416" t="e">
        <f t="shared" si="42"/>
        <v>#DIV/0!</v>
      </c>
      <c r="L338" s="416" t="s">
        <v>883</v>
      </c>
      <c r="M338" s="416" t="s">
        <v>883</v>
      </c>
      <c r="N338" s="416" t="s">
        <v>883</v>
      </c>
      <c r="O338" s="416" t="s">
        <v>883</v>
      </c>
      <c r="P338" s="416" t="s">
        <v>883</v>
      </c>
      <c r="Q338" s="416" t="s">
        <v>883</v>
      </c>
      <c r="R338" s="416" t="s">
        <v>883</v>
      </c>
      <c r="S338" s="416" t="s">
        <v>883</v>
      </c>
      <c r="T338" s="416" t="s">
        <v>883</v>
      </c>
      <c r="U338" s="416" t="s">
        <v>883</v>
      </c>
      <c r="V338" s="284" t="e">
        <f t="shared" si="43"/>
        <v>#DIV/0!</v>
      </c>
      <c r="W338" s="279"/>
      <c r="X338" s="279"/>
      <c r="Y338" s="287"/>
      <c r="Z338" s="287"/>
      <c r="AA338" s="324"/>
      <c r="AB338" s="261">
        <f t="shared" si="44"/>
        <v>0</v>
      </c>
      <c r="AC338" s="261">
        <f t="shared" si="45"/>
        <v>0</v>
      </c>
      <c r="AD338" s="297"/>
      <c r="AE338" s="290"/>
      <c r="AF338" s="291"/>
      <c r="AG338" s="292"/>
      <c r="AH338" s="293"/>
    </row>
    <row r="339" spans="1:38" s="107" customFormat="1">
      <c r="A339" s="242"/>
      <c r="B339" s="282"/>
      <c r="C339" s="121"/>
      <c r="D339" s="493" t="s">
        <v>883</v>
      </c>
      <c r="E339" s="493" t="s">
        <v>883</v>
      </c>
      <c r="F339" s="493" t="s">
        <v>883</v>
      </c>
      <c r="G339" s="493" t="s">
        <v>883</v>
      </c>
      <c r="H339" s="283" t="s">
        <v>883</v>
      </c>
      <c r="I339" s="493" t="s">
        <v>883</v>
      </c>
      <c r="J339" s="283" t="s">
        <v>883</v>
      </c>
      <c r="K339" s="416" t="e">
        <f t="shared" si="42"/>
        <v>#DIV/0!</v>
      </c>
      <c r="L339" s="493" t="s">
        <v>883</v>
      </c>
      <c r="M339" s="416" t="s">
        <v>883</v>
      </c>
      <c r="N339" s="416" t="s">
        <v>883</v>
      </c>
      <c r="O339" s="416" t="s">
        <v>883</v>
      </c>
      <c r="P339" s="416" t="s">
        <v>883</v>
      </c>
      <c r="Q339" s="416" t="s">
        <v>883</v>
      </c>
      <c r="R339" s="416" t="s">
        <v>883</v>
      </c>
      <c r="S339" s="416" t="s">
        <v>883</v>
      </c>
      <c r="T339" s="493" t="s">
        <v>883</v>
      </c>
      <c r="U339" s="493" t="s">
        <v>883</v>
      </c>
      <c r="V339" s="284" t="e">
        <f t="shared" si="43"/>
        <v>#DIV/0!</v>
      </c>
      <c r="W339" s="279"/>
      <c r="X339" s="279"/>
      <c r="Y339" s="287"/>
      <c r="Z339" s="287"/>
      <c r="AA339" s="288"/>
      <c r="AB339" s="261">
        <f t="shared" si="44"/>
        <v>0</v>
      </c>
      <c r="AC339" s="261">
        <f t="shared" si="45"/>
        <v>0</v>
      </c>
      <c r="AD339" s="297"/>
      <c r="AE339" s="290"/>
      <c r="AF339" s="291"/>
      <c r="AG339" s="292"/>
      <c r="AH339" s="293"/>
    </row>
    <row r="340" spans="1:38" s="107" customFormat="1">
      <c r="A340" s="242"/>
      <c r="B340" s="297"/>
      <c r="C340" s="121"/>
      <c r="D340" s="493" t="s">
        <v>883</v>
      </c>
      <c r="E340" s="498" t="s">
        <v>883</v>
      </c>
      <c r="F340" s="493" t="s">
        <v>883</v>
      </c>
      <c r="G340" s="414" t="s">
        <v>883</v>
      </c>
      <c r="H340" s="283" t="s">
        <v>883</v>
      </c>
      <c r="I340" s="283" t="s">
        <v>883</v>
      </c>
      <c r="J340" s="493" t="s">
        <v>883</v>
      </c>
      <c r="K340" s="416" t="e">
        <f t="shared" si="42"/>
        <v>#DIV/0!</v>
      </c>
      <c r="L340" s="493" t="s">
        <v>883</v>
      </c>
      <c r="M340" s="416" t="s">
        <v>883</v>
      </c>
      <c r="N340" s="416" t="s">
        <v>883</v>
      </c>
      <c r="O340" s="416" t="s">
        <v>883</v>
      </c>
      <c r="P340" s="416" t="s">
        <v>883</v>
      </c>
      <c r="Q340" s="416" t="s">
        <v>883</v>
      </c>
      <c r="R340" s="416" t="s">
        <v>883</v>
      </c>
      <c r="S340" s="416" t="s">
        <v>883</v>
      </c>
      <c r="T340" s="416" t="s">
        <v>883</v>
      </c>
      <c r="U340" s="416" t="s">
        <v>883</v>
      </c>
      <c r="V340" s="284" t="e">
        <f t="shared" si="43"/>
        <v>#DIV/0!</v>
      </c>
      <c r="W340" s="279"/>
      <c r="X340" s="279"/>
      <c r="Y340" s="287"/>
      <c r="Z340" s="287"/>
      <c r="AA340" s="288"/>
      <c r="AB340" s="261">
        <f t="shared" si="44"/>
        <v>0</v>
      </c>
      <c r="AC340" s="261">
        <f t="shared" si="45"/>
        <v>0</v>
      </c>
      <c r="AD340" s="297"/>
      <c r="AE340" s="290"/>
      <c r="AF340" s="291"/>
      <c r="AG340" s="292"/>
      <c r="AH340" s="293"/>
    </row>
    <row r="341" spans="1:38" s="107" customFormat="1">
      <c r="A341" s="242"/>
      <c r="B341" s="282"/>
      <c r="C341" s="108"/>
      <c r="D341" s="497" t="s">
        <v>883</v>
      </c>
      <c r="E341" s="493" t="s">
        <v>883</v>
      </c>
      <c r="F341" s="493" t="s">
        <v>883</v>
      </c>
      <c r="G341" s="283" t="s">
        <v>883</v>
      </c>
      <c r="H341" s="493" t="s">
        <v>883</v>
      </c>
      <c r="I341" s="493" t="s">
        <v>883</v>
      </c>
      <c r="J341" s="493" t="s">
        <v>883</v>
      </c>
      <c r="K341" s="416" t="e">
        <f t="shared" si="42"/>
        <v>#DIV/0!</v>
      </c>
      <c r="L341" s="493" t="s">
        <v>883</v>
      </c>
      <c r="M341" s="416" t="s">
        <v>883</v>
      </c>
      <c r="N341" s="416" t="s">
        <v>883</v>
      </c>
      <c r="O341" s="416" t="s">
        <v>883</v>
      </c>
      <c r="P341" s="416" t="s">
        <v>883</v>
      </c>
      <c r="Q341" s="416" t="s">
        <v>883</v>
      </c>
      <c r="R341" s="493" t="s">
        <v>883</v>
      </c>
      <c r="S341" s="416" t="s">
        <v>883</v>
      </c>
      <c r="T341" s="493" t="s">
        <v>883</v>
      </c>
      <c r="U341" s="416" t="s">
        <v>883</v>
      </c>
      <c r="V341" s="284" t="e">
        <f t="shared" si="43"/>
        <v>#DIV/0!</v>
      </c>
      <c r="W341" s="299"/>
      <c r="X341" s="299"/>
      <c r="Y341" s="287"/>
      <c r="Z341" s="287"/>
      <c r="AA341" s="286"/>
      <c r="AB341" s="261">
        <f t="shared" si="44"/>
        <v>0</v>
      </c>
      <c r="AC341" s="261">
        <f t="shared" si="45"/>
        <v>0</v>
      </c>
      <c r="AD341" s="282"/>
      <c r="AE341" s="290"/>
      <c r="AF341" s="291"/>
      <c r="AG341" s="292"/>
      <c r="AH341" s="293"/>
    </row>
    <row r="342" spans="1:38" s="107" customFormat="1">
      <c r="A342" s="242"/>
      <c r="B342" s="282"/>
      <c r="C342" s="121"/>
      <c r="D342" s="493" t="s">
        <v>883</v>
      </c>
      <c r="E342" s="493" t="s">
        <v>883</v>
      </c>
      <c r="F342" s="493" t="s">
        <v>883</v>
      </c>
      <c r="G342" s="283" t="s">
        <v>883</v>
      </c>
      <c r="H342" s="493" t="s">
        <v>883</v>
      </c>
      <c r="I342" s="493" t="s">
        <v>883</v>
      </c>
      <c r="J342" s="493" t="s">
        <v>883</v>
      </c>
      <c r="K342" s="416" t="e">
        <f t="shared" si="42"/>
        <v>#DIV/0!</v>
      </c>
      <c r="L342" s="493" t="s">
        <v>883</v>
      </c>
      <c r="M342" s="416" t="s">
        <v>883</v>
      </c>
      <c r="N342" s="493" t="s">
        <v>883</v>
      </c>
      <c r="O342" s="416" t="s">
        <v>883</v>
      </c>
      <c r="P342" s="493" t="s">
        <v>883</v>
      </c>
      <c r="Q342" s="416" t="s">
        <v>883</v>
      </c>
      <c r="R342" s="493" t="s">
        <v>883</v>
      </c>
      <c r="S342" s="493" t="s">
        <v>883</v>
      </c>
      <c r="T342" s="416" t="s">
        <v>883</v>
      </c>
      <c r="U342" s="416" t="s">
        <v>883</v>
      </c>
      <c r="V342" s="284" t="e">
        <f t="shared" si="43"/>
        <v>#DIV/0!</v>
      </c>
      <c r="W342" s="299"/>
      <c r="X342" s="299"/>
      <c r="Y342" s="287"/>
      <c r="Z342" s="287"/>
      <c r="AA342" s="288"/>
      <c r="AB342" s="261">
        <f t="shared" si="44"/>
        <v>0</v>
      </c>
      <c r="AC342" s="261">
        <f t="shared" si="45"/>
        <v>0</v>
      </c>
      <c r="AD342" s="282"/>
      <c r="AE342" s="290"/>
      <c r="AF342" s="291"/>
      <c r="AG342" s="292"/>
      <c r="AH342" s="293"/>
    </row>
    <row r="343" spans="1:38" s="107" customFormat="1">
      <c r="A343" s="242"/>
      <c r="B343" s="297"/>
      <c r="C343" s="121"/>
      <c r="D343" s="493" t="s">
        <v>883</v>
      </c>
      <c r="E343" s="493" t="s">
        <v>883</v>
      </c>
      <c r="F343" s="493" t="s">
        <v>883</v>
      </c>
      <c r="G343" s="493" t="s">
        <v>883</v>
      </c>
      <c r="H343" s="493" t="s">
        <v>883</v>
      </c>
      <c r="I343" s="493" t="s">
        <v>883</v>
      </c>
      <c r="J343" s="283" t="s">
        <v>883</v>
      </c>
      <c r="K343" s="416" t="e">
        <f t="shared" si="42"/>
        <v>#DIV/0!</v>
      </c>
      <c r="L343" s="493" t="s">
        <v>883</v>
      </c>
      <c r="M343" s="493" t="s">
        <v>883</v>
      </c>
      <c r="N343" s="493" t="s">
        <v>883</v>
      </c>
      <c r="O343" s="493" t="s">
        <v>883</v>
      </c>
      <c r="P343" s="493" t="s">
        <v>883</v>
      </c>
      <c r="Q343" s="493" t="s">
        <v>883</v>
      </c>
      <c r="R343" s="493" t="s">
        <v>883</v>
      </c>
      <c r="S343" s="493" t="s">
        <v>883</v>
      </c>
      <c r="T343" s="493" t="s">
        <v>883</v>
      </c>
      <c r="U343" s="493" t="s">
        <v>883</v>
      </c>
      <c r="V343" s="284" t="e">
        <f t="shared" si="43"/>
        <v>#DIV/0!</v>
      </c>
      <c r="W343" s="299"/>
      <c r="X343" s="299"/>
      <c r="Y343" s="287"/>
      <c r="Z343" s="287"/>
      <c r="AA343" s="288"/>
      <c r="AB343" s="261">
        <f t="shared" si="44"/>
        <v>0</v>
      </c>
      <c r="AC343" s="261">
        <f t="shared" si="45"/>
        <v>0</v>
      </c>
      <c r="AD343" s="282"/>
      <c r="AE343" s="290"/>
      <c r="AF343" s="291"/>
      <c r="AG343" s="292"/>
      <c r="AH343" s="293"/>
    </row>
    <row r="344" spans="1:38" s="107" customFormat="1">
      <c r="A344" s="242"/>
      <c r="B344" s="282"/>
      <c r="C344" s="106"/>
      <c r="D344" s="493" t="s">
        <v>883</v>
      </c>
      <c r="E344" s="491" t="s">
        <v>883</v>
      </c>
      <c r="F344" s="493" t="s">
        <v>883</v>
      </c>
      <c r="G344" s="283" t="s">
        <v>883</v>
      </c>
      <c r="H344" s="283" t="s">
        <v>883</v>
      </c>
      <c r="I344" s="493" t="s">
        <v>883</v>
      </c>
      <c r="J344" s="493" t="s">
        <v>883</v>
      </c>
      <c r="K344" s="416" t="e">
        <f t="shared" si="42"/>
        <v>#DIV/0!</v>
      </c>
      <c r="L344" s="493" t="s">
        <v>883</v>
      </c>
      <c r="M344" s="416" t="s">
        <v>883</v>
      </c>
      <c r="N344" s="416" t="s">
        <v>883</v>
      </c>
      <c r="O344" s="416" t="s">
        <v>883</v>
      </c>
      <c r="P344" s="416" t="s">
        <v>883</v>
      </c>
      <c r="Q344" s="493" t="s">
        <v>883</v>
      </c>
      <c r="R344" s="416" t="s">
        <v>883</v>
      </c>
      <c r="S344" s="416" t="s">
        <v>883</v>
      </c>
      <c r="T344" s="493" t="s">
        <v>883</v>
      </c>
      <c r="U344" s="493" t="s">
        <v>883</v>
      </c>
      <c r="V344" s="284" t="e">
        <f t="shared" si="43"/>
        <v>#DIV/0!</v>
      </c>
      <c r="W344" s="299"/>
      <c r="X344" s="299"/>
      <c r="Y344" s="287"/>
      <c r="Z344" s="287"/>
      <c r="AA344" s="286"/>
      <c r="AB344" s="261">
        <f t="shared" si="44"/>
        <v>0</v>
      </c>
      <c r="AC344" s="261">
        <f t="shared" si="45"/>
        <v>0</v>
      </c>
      <c r="AD344" s="282"/>
      <c r="AE344" s="290"/>
      <c r="AF344" s="291"/>
      <c r="AG344" s="292"/>
      <c r="AH344" s="293"/>
    </row>
    <row r="345" spans="1:38" s="107" customFormat="1">
      <c r="A345" s="242"/>
      <c r="B345" s="282"/>
      <c r="C345" s="121"/>
      <c r="D345" s="493" t="s">
        <v>883</v>
      </c>
      <c r="E345" s="493" t="s">
        <v>883</v>
      </c>
      <c r="F345" s="493" t="s">
        <v>883</v>
      </c>
      <c r="G345" s="283" t="s">
        <v>883</v>
      </c>
      <c r="H345" s="283" t="s">
        <v>883</v>
      </c>
      <c r="I345" s="283" t="s">
        <v>883</v>
      </c>
      <c r="J345" s="283" t="s">
        <v>883</v>
      </c>
      <c r="K345" s="416" t="e">
        <f t="shared" si="42"/>
        <v>#DIV/0!</v>
      </c>
      <c r="L345" s="416" t="s">
        <v>883</v>
      </c>
      <c r="M345" s="416" t="s">
        <v>883</v>
      </c>
      <c r="N345" s="416" t="s">
        <v>883</v>
      </c>
      <c r="O345" s="416" t="s">
        <v>883</v>
      </c>
      <c r="P345" s="416" t="s">
        <v>883</v>
      </c>
      <c r="Q345" s="416" t="s">
        <v>883</v>
      </c>
      <c r="R345" s="416" t="s">
        <v>883</v>
      </c>
      <c r="S345" s="416" t="s">
        <v>883</v>
      </c>
      <c r="T345" s="416" t="s">
        <v>883</v>
      </c>
      <c r="U345" s="416" t="s">
        <v>883</v>
      </c>
      <c r="V345" s="284" t="e">
        <f t="shared" si="43"/>
        <v>#DIV/0!</v>
      </c>
      <c r="W345" s="299"/>
      <c r="X345" s="299"/>
      <c r="Y345" s="287"/>
      <c r="Z345" s="287"/>
      <c r="AA345" s="286"/>
      <c r="AB345" s="261">
        <f t="shared" si="44"/>
        <v>0</v>
      </c>
      <c r="AC345" s="261">
        <f t="shared" si="45"/>
        <v>0</v>
      </c>
      <c r="AD345" s="282"/>
      <c r="AE345" s="290"/>
      <c r="AF345" s="291"/>
      <c r="AG345" s="292"/>
      <c r="AH345" s="293"/>
    </row>
    <row r="346" spans="1:38" s="107" customFormat="1">
      <c r="A346" s="242"/>
      <c r="B346" s="282"/>
      <c r="C346" s="108"/>
      <c r="D346" s="493" t="s">
        <v>883</v>
      </c>
      <c r="E346" s="497" t="s">
        <v>883</v>
      </c>
      <c r="F346" s="493" t="s">
        <v>883</v>
      </c>
      <c r="G346" s="493" t="s">
        <v>883</v>
      </c>
      <c r="H346" s="283" t="s">
        <v>883</v>
      </c>
      <c r="I346" s="493" t="s">
        <v>883</v>
      </c>
      <c r="J346" s="283" t="s">
        <v>883</v>
      </c>
      <c r="K346" s="416" t="e">
        <f t="shared" si="42"/>
        <v>#DIV/0!</v>
      </c>
      <c r="L346" s="493" t="s">
        <v>883</v>
      </c>
      <c r="M346" s="493" t="s">
        <v>883</v>
      </c>
      <c r="N346" s="493" t="s">
        <v>883</v>
      </c>
      <c r="O346" s="493" t="s">
        <v>883</v>
      </c>
      <c r="P346" s="493" t="s">
        <v>883</v>
      </c>
      <c r="Q346" s="493" t="s">
        <v>883</v>
      </c>
      <c r="R346" s="493" t="s">
        <v>883</v>
      </c>
      <c r="S346" s="416" t="s">
        <v>883</v>
      </c>
      <c r="T346" s="493" t="s">
        <v>883</v>
      </c>
      <c r="U346" s="493" t="s">
        <v>883</v>
      </c>
      <c r="V346" s="284" t="e">
        <f t="shared" si="43"/>
        <v>#DIV/0!</v>
      </c>
      <c r="W346" s="299"/>
      <c r="X346" s="299"/>
      <c r="Y346" s="287"/>
      <c r="Z346" s="287"/>
      <c r="AA346" s="288"/>
      <c r="AB346" s="261">
        <f t="shared" si="44"/>
        <v>0</v>
      </c>
      <c r="AC346" s="261">
        <f t="shared" si="45"/>
        <v>0</v>
      </c>
      <c r="AD346" s="282"/>
      <c r="AE346" s="290"/>
      <c r="AF346" s="291"/>
      <c r="AG346" s="292"/>
      <c r="AH346" s="293"/>
    </row>
    <row r="347" spans="1:38" s="107" customFormat="1">
      <c r="A347" s="242"/>
      <c r="B347" s="282"/>
      <c r="C347" s="121"/>
      <c r="D347" s="493" t="s">
        <v>883</v>
      </c>
      <c r="E347" s="493" t="s">
        <v>883</v>
      </c>
      <c r="F347" s="493" t="s">
        <v>883</v>
      </c>
      <c r="G347" s="283" t="s">
        <v>883</v>
      </c>
      <c r="H347" s="283" t="s">
        <v>883</v>
      </c>
      <c r="I347" s="283" t="s">
        <v>883</v>
      </c>
      <c r="J347" s="493" t="s">
        <v>883</v>
      </c>
      <c r="K347" s="416" t="e">
        <f t="shared" si="42"/>
        <v>#DIV/0!</v>
      </c>
      <c r="L347" s="493" t="s">
        <v>883</v>
      </c>
      <c r="M347" s="416" t="s">
        <v>883</v>
      </c>
      <c r="N347" s="416" t="s">
        <v>883</v>
      </c>
      <c r="O347" s="416" t="s">
        <v>883</v>
      </c>
      <c r="P347" s="416" t="s">
        <v>883</v>
      </c>
      <c r="Q347" s="493" t="s">
        <v>883</v>
      </c>
      <c r="R347" s="493" t="s">
        <v>883</v>
      </c>
      <c r="S347" s="493" t="s">
        <v>883</v>
      </c>
      <c r="T347" s="493" t="s">
        <v>883</v>
      </c>
      <c r="U347" s="493" t="s">
        <v>883</v>
      </c>
      <c r="V347" s="284" t="e">
        <f t="shared" si="43"/>
        <v>#DIV/0!</v>
      </c>
      <c r="W347" s="299"/>
      <c r="X347" s="299"/>
      <c r="Y347" s="287"/>
      <c r="Z347" s="287"/>
      <c r="AA347" s="286"/>
      <c r="AB347" s="261">
        <f t="shared" si="44"/>
        <v>0</v>
      </c>
      <c r="AC347" s="261">
        <f t="shared" si="45"/>
        <v>0</v>
      </c>
      <c r="AD347" s="282"/>
      <c r="AE347" s="290"/>
      <c r="AF347" s="291"/>
      <c r="AG347" s="292"/>
      <c r="AH347" s="293"/>
    </row>
    <row r="348" spans="1:38" s="107" customFormat="1">
      <c r="A348" s="242"/>
      <c r="B348" s="282"/>
      <c r="C348" s="108"/>
      <c r="D348" s="497" t="s">
        <v>883</v>
      </c>
      <c r="E348" s="497" t="s">
        <v>883</v>
      </c>
      <c r="F348" s="493" t="s">
        <v>883</v>
      </c>
      <c r="G348" s="283" t="s">
        <v>883</v>
      </c>
      <c r="H348" s="283" t="s">
        <v>883</v>
      </c>
      <c r="I348" s="493" t="s">
        <v>883</v>
      </c>
      <c r="J348" s="493" t="s">
        <v>883</v>
      </c>
      <c r="K348" s="416" t="e">
        <f t="shared" si="42"/>
        <v>#DIV/0!</v>
      </c>
      <c r="L348" s="493" t="s">
        <v>883</v>
      </c>
      <c r="M348" s="416" t="s">
        <v>883</v>
      </c>
      <c r="N348" s="493" t="s">
        <v>883</v>
      </c>
      <c r="O348" s="493" t="s">
        <v>883</v>
      </c>
      <c r="P348" s="493" t="s">
        <v>883</v>
      </c>
      <c r="Q348" s="493" t="s">
        <v>883</v>
      </c>
      <c r="R348" s="416" t="s">
        <v>883</v>
      </c>
      <c r="S348" s="416" t="s">
        <v>883</v>
      </c>
      <c r="T348" s="493" t="s">
        <v>883</v>
      </c>
      <c r="U348" s="493" t="s">
        <v>883</v>
      </c>
      <c r="V348" s="284" t="e">
        <f t="shared" si="43"/>
        <v>#DIV/0!</v>
      </c>
      <c r="W348" s="299"/>
      <c r="X348" s="299"/>
      <c r="Y348" s="287"/>
      <c r="Z348" s="287"/>
      <c r="AA348" s="288"/>
      <c r="AB348" s="261">
        <f t="shared" si="44"/>
        <v>0</v>
      </c>
      <c r="AC348" s="261">
        <f t="shared" si="45"/>
        <v>0</v>
      </c>
      <c r="AD348" s="282"/>
      <c r="AE348" s="290"/>
      <c r="AF348" s="291"/>
      <c r="AG348" s="292"/>
      <c r="AH348" s="293"/>
    </row>
    <row r="349" spans="1:38" s="107" customFormat="1">
      <c r="A349" s="242"/>
      <c r="B349" s="282"/>
      <c r="C349" s="121"/>
      <c r="D349" s="492" t="s">
        <v>883</v>
      </c>
      <c r="E349" s="492" t="s">
        <v>883</v>
      </c>
      <c r="F349" s="492" t="s">
        <v>883</v>
      </c>
      <c r="G349" s="283" t="s">
        <v>883</v>
      </c>
      <c r="H349" s="283" t="s">
        <v>883</v>
      </c>
      <c r="I349" s="283" t="s">
        <v>883</v>
      </c>
      <c r="J349" s="283" t="s">
        <v>883</v>
      </c>
      <c r="K349" s="416" t="e">
        <f t="shared" si="42"/>
        <v>#DIV/0!</v>
      </c>
      <c r="L349" s="416" t="s">
        <v>883</v>
      </c>
      <c r="M349" s="416" t="s">
        <v>883</v>
      </c>
      <c r="N349" s="416" t="s">
        <v>883</v>
      </c>
      <c r="O349" s="416" t="s">
        <v>883</v>
      </c>
      <c r="P349" s="416" t="s">
        <v>883</v>
      </c>
      <c r="Q349" s="416" t="s">
        <v>883</v>
      </c>
      <c r="R349" s="416" t="s">
        <v>883</v>
      </c>
      <c r="S349" s="416" t="s">
        <v>883</v>
      </c>
      <c r="T349" s="416" t="s">
        <v>883</v>
      </c>
      <c r="U349" s="416" t="s">
        <v>883</v>
      </c>
      <c r="V349" s="284" t="e">
        <f t="shared" si="43"/>
        <v>#DIV/0!</v>
      </c>
      <c r="W349" s="299"/>
      <c r="X349" s="299"/>
      <c r="Y349" s="287"/>
      <c r="Z349" s="287"/>
      <c r="AA349" s="288"/>
      <c r="AB349" s="261">
        <f t="shared" si="44"/>
        <v>0</v>
      </c>
      <c r="AC349" s="261">
        <f t="shared" si="45"/>
        <v>0</v>
      </c>
      <c r="AD349" s="282"/>
      <c r="AE349" s="290"/>
      <c r="AF349" s="291"/>
      <c r="AG349" s="292"/>
      <c r="AH349" s="293"/>
    </row>
    <row r="350" spans="1:38" s="107" customFormat="1">
      <c r="A350" s="242"/>
      <c r="B350" s="282"/>
      <c r="C350" s="106"/>
      <c r="D350" s="491" t="s">
        <v>883</v>
      </c>
      <c r="E350" s="493" t="s">
        <v>883</v>
      </c>
      <c r="F350" s="493" t="s">
        <v>883</v>
      </c>
      <c r="G350" s="283" t="s">
        <v>883</v>
      </c>
      <c r="H350" s="493" t="s">
        <v>883</v>
      </c>
      <c r="I350" s="493" t="s">
        <v>883</v>
      </c>
      <c r="J350" s="493" t="s">
        <v>883</v>
      </c>
      <c r="K350" s="416" t="e">
        <f t="shared" si="42"/>
        <v>#DIV/0!</v>
      </c>
      <c r="L350" s="416" t="s">
        <v>883</v>
      </c>
      <c r="M350" s="416" t="s">
        <v>883</v>
      </c>
      <c r="N350" s="416" t="s">
        <v>883</v>
      </c>
      <c r="O350" s="416" t="s">
        <v>883</v>
      </c>
      <c r="P350" s="416" t="s">
        <v>883</v>
      </c>
      <c r="Q350" s="416" t="s">
        <v>883</v>
      </c>
      <c r="R350" s="416" t="s">
        <v>883</v>
      </c>
      <c r="S350" s="416" t="s">
        <v>883</v>
      </c>
      <c r="T350" s="416" t="s">
        <v>883</v>
      </c>
      <c r="U350" s="416" t="s">
        <v>883</v>
      </c>
      <c r="V350" s="284" t="e">
        <f t="shared" si="43"/>
        <v>#DIV/0!</v>
      </c>
      <c r="W350" s="285"/>
      <c r="X350" s="286"/>
      <c r="Y350" s="287"/>
      <c r="Z350" s="287"/>
      <c r="AA350" s="286"/>
      <c r="AB350" s="261">
        <f t="shared" si="44"/>
        <v>0</v>
      </c>
      <c r="AC350" s="261">
        <f t="shared" si="45"/>
        <v>0</v>
      </c>
      <c r="AD350" s="289"/>
      <c r="AE350" s="290"/>
      <c r="AF350" s="291"/>
      <c r="AG350" s="292"/>
      <c r="AH350" s="293"/>
    </row>
    <row r="351" spans="1:38" s="107" customFormat="1">
      <c r="A351" s="242"/>
      <c r="B351" s="282"/>
      <c r="C351" s="121"/>
      <c r="D351" s="493" t="s">
        <v>883</v>
      </c>
      <c r="E351" s="493" t="s">
        <v>883</v>
      </c>
      <c r="F351" s="493" t="s">
        <v>883</v>
      </c>
      <c r="G351" s="493" t="s">
        <v>883</v>
      </c>
      <c r="H351" s="283" t="s">
        <v>883</v>
      </c>
      <c r="I351" s="493" t="s">
        <v>883</v>
      </c>
      <c r="J351" s="283" t="s">
        <v>883</v>
      </c>
      <c r="K351" s="416" t="e">
        <f t="shared" si="42"/>
        <v>#DIV/0!</v>
      </c>
      <c r="L351" s="493" t="s">
        <v>883</v>
      </c>
      <c r="M351" s="416" t="s">
        <v>883</v>
      </c>
      <c r="N351" s="416" t="s">
        <v>883</v>
      </c>
      <c r="O351" s="416" t="s">
        <v>883</v>
      </c>
      <c r="P351" s="416" t="s">
        <v>883</v>
      </c>
      <c r="Q351" s="493" t="s">
        <v>883</v>
      </c>
      <c r="R351" s="416" t="s">
        <v>883</v>
      </c>
      <c r="S351" s="416" t="s">
        <v>883</v>
      </c>
      <c r="T351" s="416" t="s">
        <v>883</v>
      </c>
      <c r="U351" s="416" t="s">
        <v>883</v>
      </c>
      <c r="V351" s="284" t="e">
        <f t="shared" si="43"/>
        <v>#DIV/0!</v>
      </c>
      <c r="W351" s="299"/>
      <c r="X351" s="299"/>
      <c r="Y351" s="287"/>
      <c r="Z351" s="287"/>
      <c r="AA351" s="288"/>
      <c r="AB351" s="261">
        <f t="shared" si="44"/>
        <v>0</v>
      </c>
      <c r="AC351" s="261">
        <f t="shared" si="45"/>
        <v>0</v>
      </c>
      <c r="AD351" s="282"/>
      <c r="AE351" s="290"/>
      <c r="AF351" s="291"/>
      <c r="AG351" s="292"/>
      <c r="AH351" s="293"/>
    </row>
    <row r="352" spans="1:38" s="107" customFormat="1">
      <c r="A352" s="269"/>
      <c r="B352" s="269"/>
      <c r="C352" s="325"/>
      <c r="D352" s="326"/>
      <c r="E352" s="326"/>
      <c r="F352" s="326"/>
      <c r="G352" s="267"/>
      <c r="H352" s="267"/>
      <c r="I352" s="267"/>
      <c r="J352" s="267"/>
      <c r="K352" s="269"/>
      <c r="L352" s="267"/>
      <c r="M352" s="269"/>
      <c r="N352" s="269"/>
      <c r="O352" s="269"/>
      <c r="P352" s="269"/>
      <c r="Q352" s="269"/>
      <c r="R352" s="269"/>
      <c r="S352" s="269"/>
      <c r="T352" s="269"/>
      <c r="U352" s="269"/>
      <c r="V352" s="269"/>
      <c r="W352" s="266"/>
      <c r="X352" s="266"/>
      <c r="Y352" s="267"/>
      <c r="Z352" s="269"/>
      <c r="AA352" s="269"/>
      <c r="AB352" s="269"/>
      <c r="AC352" s="269"/>
      <c r="AD352" s="269"/>
      <c r="AE352" s="269"/>
      <c r="AF352" s="327"/>
      <c r="AG352" s="269"/>
      <c r="AH352" s="269"/>
    </row>
    <row r="353" spans="1:34" s="107" customFormat="1">
      <c r="A353" s="269"/>
      <c r="B353" s="269"/>
      <c r="C353" s="325"/>
      <c r="D353" s="326"/>
      <c r="E353" s="326"/>
      <c r="F353" s="326"/>
      <c r="G353" s="267"/>
      <c r="H353" s="267"/>
      <c r="I353" s="267"/>
      <c r="J353" s="267"/>
      <c r="K353" s="269"/>
      <c r="L353" s="267"/>
      <c r="M353" s="269"/>
      <c r="N353" s="269"/>
      <c r="O353" s="269"/>
      <c r="P353" s="269"/>
      <c r="Q353" s="269"/>
      <c r="R353" s="269"/>
      <c r="S353" s="269"/>
      <c r="T353" s="269"/>
      <c r="U353" s="269"/>
      <c r="V353" s="269"/>
      <c r="W353" s="266"/>
      <c r="X353" s="266"/>
      <c r="Y353" s="267"/>
      <c r="Z353" s="269"/>
      <c r="AA353" s="269"/>
      <c r="AB353" s="269"/>
      <c r="AC353" s="269"/>
      <c r="AD353" s="269"/>
      <c r="AE353" s="269"/>
      <c r="AF353" s="327"/>
      <c r="AG353" s="269"/>
      <c r="AH353" s="269"/>
    </row>
    <row r="354" spans="1:34" s="107" customFormat="1">
      <c r="A354" s="269"/>
      <c r="B354" s="269"/>
      <c r="C354" s="325"/>
      <c r="D354" s="326"/>
      <c r="E354" s="326"/>
      <c r="F354" s="326"/>
      <c r="G354" s="267"/>
      <c r="H354" s="267"/>
      <c r="I354" s="267"/>
      <c r="J354" s="267"/>
      <c r="K354" s="269"/>
      <c r="L354" s="267"/>
      <c r="M354" s="269"/>
      <c r="N354" s="269"/>
      <c r="O354" s="269"/>
      <c r="P354" s="269"/>
      <c r="Q354" s="269"/>
      <c r="R354" s="269"/>
      <c r="S354" s="269"/>
      <c r="T354" s="269"/>
      <c r="U354" s="269"/>
      <c r="V354" s="269"/>
      <c r="W354" s="266"/>
      <c r="X354" s="266"/>
      <c r="Y354" s="267"/>
      <c r="Z354" s="269"/>
      <c r="AA354" s="269"/>
      <c r="AB354" s="269"/>
      <c r="AC354" s="269"/>
      <c r="AD354" s="269"/>
      <c r="AE354" s="269"/>
      <c r="AF354" s="327"/>
      <c r="AG354" s="269"/>
      <c r="AH354" s="269"/>
    </row>
    <row r="355" spans="1:34" s="107" customFormat="1" ht="51">
      <c r="A355" s="270" t="s">
        <v>852</v>
      </c>
      <c r="B355" s="451" t="s">
        <v>857</v>
      </c>
      <c r="C355" s="272" t="s">
        <v>885</v>
      </c>
      <c r="D355" s="270" t="s">
        <v>1091</v>
      </c>
      <c r="E355" s="270" t="s">
        <v>1092</v>
      </c>
      <c r="F355" s="270" t="s">
        <v>1093</v>
      </c>
      <c r="G355" s="238" t="s">
        <v>1095</v>
      </c>
      <c r="H355" s="238" t="s">
        <v>1096</v>
      </c>
      <c r="I355" s="238" t="s">
        <v>1097</v>
      </c>
      <c r="J355" s="238" t="s">
        <v>1099</v>
      </c>
      <c r="K355" s="376" t="s">
        <v>1291</v>
      </c>
      <c r="L355" s="238" t="s">
        <v>1101</v>
      </c>
      <c r="M355" s="238" t="s">
        <v>1012</v>
      </c>
      <c r="N355" s="238" t="s">
        <v>1100</v>
      </c>
      <c r="O355" s="238" t="s">
        <v>1007</v>
      </c>
      <c r="P355" s="238" t="s">
        <v>1005</v>
      </c>
      <c r="Q355" s="238" t="s">
        <v>1009</v>
      </c>
      <c r="R355" s="238" t="s">
        <v>146</v>
      </c>
      <c r="S355" s="238" t="s">
        <v>1008</v>
      </c>
      <c r="T355" s="238" t="s">
        <v>1006</v>
      </c>
      <c r="U355" s="238" t="s">
        <v>145</v>
      </c>
      <c r="V355" s="269"/>
      <c r="W355" s="266"/>
      <c r="X355" s="266"/>
      <c r="Y355" s="267"/>
      <c r="Z355" s="269"/>
      <c r="AA355" s="269"/>
      <c r="AB355" s="269"/>
      <c r="AC355" s="269"/>
      <c r="AD355" s="269"/>
      <c r="AE355" s="269"/>
      <c r="AF355" s="327"/>
      <c r="AG355" s="269"/>
      <c r="AH355" s="269"/>
    </row>
    <row r="356" spans="1:34" s="107" customFormat="1">
      <c r="A356" s="328"/>
      <c r="B356" s="269"/>
      <c r="C356" s="329"/>
      <c r="D356" s="267" t="str">
        <f>IF(Calculator!$A$4=1,"X","")</f>
        <v/>
      </c>
      <c r="E356" s="267" t="str">
        <f>IF(Calculator!$A$4=2,"X","")</f>
        <v/>
      </c>
      <c r="F356" s="267" t="str">
        <f>IF(Calculator!$A$4=3,"X","")</f>
        <v/>
      </c>
      <c r="G356" s="267" t="str">
        <f>IF(Calculator!$A$6=1,"X","")</f>
        <v/>
      </c>
      <c r="H356" s="267" t="str">
        <f>IF(Calculator!$A$6=2,"X","")</f>
        <v/>
      </c>
      <c r="I356" s="267" t="str">
        <f>IF(Calculator!$A$6=3,"X","")</f>
        <v/>
      </c>
      <c r="J356" s="267" t="str">
        <f>IF(Calculator!$A$6=4,"X","")</f>
        <v/>
      </c>
      <c r="K356" s="330" t="str">
        <f>IF(Calculator!$A$8=2,"&lt;.0069","&gt;0")</f>
        <v>&gt;0</v>
      </c>
      <c r="L356" s="330" t="str">
        <f>IF(Calculator!$C$2="ALL","X","")</f>
        <v/>
      </c>
      <c r="M356" s="330" t="str">
        <f>IF(Calculator!$C$2="C","X","")</f>
        <v/>
      </c>
      <c r="N356" s="330" t="str">
        <f>IF(Calculator!$C$2="EC","X","")</f>
        <v/>
      </c>
      <c r="O356" s="330" t="str">
        <f>IF(Calculator!$C$2="NC","X","")</f>
        <v/>
      </c>
      <c r="P356" s="330" t="str">
        <f>IF(Calculator!$C$2="NE","X","")</f>
        <v/>
      </c>
      <c r="Q356" s="330" t="str">
        <f>IF(Calculator!$C$2="NW","X","")</f>
        <v/>
      </c>
      <c r="R356" s="330" t="str">
        <f>IF(Calculator!$C$2="SC","X","")</f>
        <v/>
      </c>
      <c r="S356" s="330" t="str">
        <f>IF(Calculator!$C$2="SE","X","")</f>
        <v/>
      </c>
      <c r="T356" s="330" t="str">
        <f>IF(Calculator!$C$2="SW","X","")</f>
        <v/>
      </c>
      <c r="U356" s="330" t="str">
        <f>IF(Calculator!$C$2="WC","X","")</f>
        <v/>
      </c>
      <c r="V356" s="269"/>
      <c r="W356" s="266"/>
      <c r="X356" s="266"/>
      <c r="Y356" s="267"/>
      <c r="Z356" s="269"/>
      <c r="AA356" s="269"/>
      <c r="AB356" s="269"/>
      <c r="AC356" s="269"/>
      <c r="AD356" s="269"/>
      <c r="AE356" s="269"/>
      <c r="AF356" s="327"/>
      <c r="AG356" s="269"/>
      <c r="AH356" s="269"/>
    </row>
    <row r="357" spans="1:34" s="107" customFormat="1">
      <c r="A357" s="269"/>
      <c r="B357" s="269"/>
      <c r="C357" s="325"/>
      <c r="D357" s="326"/>
      <c r="E357" s="326"/>
      <c r="F357" s="326"/>
      <c r="G357" s="267"/>
      <c r="H357" s="267"/>
      <c r="I357" s="267"/>
      <c r="J357" s="267"/>
      <c r="K357" s="269"/>
      <c r="L357" s="267"/>
      <c r="M357" s="269"/>
      <c r="N357" s="269"/>
      <c r="O357" s="269"/>
      <c r="P357" s="269"/>
      <c r="Q357" s="269"/>
      <c r="R357" s="269"/>
      <c r="S357" s="269"/>
      <c r="T357" s="269"/>
      <c r="U357" s="269"/>
      <c r="V357" s="269"/>
      <c r="W357" s="266"/>
      <c r="X357" s="266"/>
      <c r="Y357" s="267"/>
      <c r="Z357" s="269"/>
      <c r="AA357" s="269"/>
      <c r="AB357" s="269"/>
      <c r="AC357" s="269"/>
      <c r="AD357" s="269"/>
      <c r="AE357" s="269"/>
      <c r="AF357" s="327"/>
      <c r="AG357" s="269"/>
      <c r="AH357" s="269"/>
    </row>
    <row r="358" spans="1:34" s="107" customFormat="1">
      <c r="A358" s="269"/>
      <c r="B358" s="269"/>
      <c r="C358" s="325"/>
      <c r="D358" s="326"/>
      <c r="E358" s="326"/>
      <c r="F358" s="326"/>
      <c r="G358" s="267"/>
      <c r="H358" s="267"/>
      <c r="I358" s="267"/>
      <c r="J358" s="267"/>
      <c r="K358" s="269"/>
      <c r="L358" s="267"/>
      <c r="M358" s="269"/>
      <c r="N358" s="269"/>
      <c r="O358" s="269"/>
      <c r="P358" s="269"/>
      <c r="Q358" s="269"/>
      <c r="R358" s="269"/>
      <c r="S358" s="269"/>
      <c r="T358" s="269"/>
      <c r="U358" s="269"/>
      <c r="V358" s="269"/>
      <c r="W358" s="266"/>
      <c r="X358" s="266"/>
      <c r="Y358" s="267"/>
      <c r="Z358" s="269"/>
      <c r="AA358" s="269"/>
      <c r="AB358" s="269"/>
      <c r="AC358" s="269"/>
      <c r="AD358" s="269"/>
      <c r="AE358" s="269"/>
      <c r="AF358" s="327"/>
      <c r="AG358" s="269"/>
      <c r="AH358" s="269"/>
    </row>
    <row r="359" spans="1:34" s="107" customFormat="1">
      <c r="A359" s="269"/>
      <c r="B359" s="269"/>
      <c r="C359" s="325"/>
      <c r="D359" s="326"/>
      <c r="E359" s="326"/>
      <c r="F359" s="326"/>
      <c r="G359" s="267"/>
      <c r="H359" s="267"/>
      <c r="I359" s="267"/>
      <c r="J359" s="267"/>
      <c r="K359" s="269"/>
      <c r="L359" s="267"/>
      <c r="M359" s="269"/>
      <c r="N359" s="269"/>
      <c r="O359" s="269"/>
      <c r="P359" s="269"/>
      <c r="Q359" s="269"/>
      <c r="R359" s="269"/>
      <c r="S359" s="269"/>
      <c r="T359" s="269"/>
      <c r="U359" s="269"/>
      <c r="V359" s="269"/>
      <c r="W359" s="266"/>
      <c r="X359" s="266"/>
      <c r="Y359" s="267"/>
      <c r="Z359" s="269"/>
      <c r="AA359" s="269"/>
      <c r="AB359" s="269"/>
      <c r="AC359" s="269"/>
      <c r="AD359" s="269"/>
      <c r="AE359" s="269"/>
      <c r="AF359" s="327"/>
      <c r="AG359" s="269"/>
      <c r="AH359" s="269"/>
    </row>
    <row r="360" spans="1:34" s="107" customFormat="1" ht="51">
      <c r="A360" s="270" t="s">
        <v>852</v>
      </c>
      <c r="B360" s="451" t="s">
        <v>857</v>
      </c>
      <c r="C360" s="272" t="s">
        <v>885</v>
      </c>
      <c r="D360" s="270" t="s">
        <v>1091</v>
      </c>
      <c r="E360" s="270" t="s">
        <v>1092</v>
      </c>
      <c r="F360" s="270" t="s">
        <v>1093</v>
      </c>
      <c r="G360" s="238" t="s">
        <v>1095</v>
      </c>
      <c r="H360" s="238" t="s">
        <v>1096</v>
      </c>
      <c r="I360" s="238" t="s">
        <v>1097</v>
      </c>
      <c r="J360" s="238" t="s">
        <v>1099</v>
      </c>
      <c r="K360" s="376" t="s">
        <v>1291</v>
      </c>
      <c r="L360" s="238" t="s">
        <v>1101</v>
      </c>
      <c r="M360" s="238" t="s">
        <v>1012</v>
      </c>
      <c r="N360" s="238" t="s">
        <v>1100</v>
      </c>
      <c r="O360" s="238" t="s">
        <v>1007</v>
      </c>
      <c r="P360" s="238" t="s">
        <v>1005</v>
      </c>
      <c r="Q360" s="238" t="s">
        <v>1009</v>
      </c>
      <c r="R360" s="238" t="s">
        <v>146</v>
      </c>
      <c r="S360" s="238" t="s">
        <v>1008</v>
      </c>
      <c r="T360" s="238" t="s">
        <v>1006</v>
      </c>
      <c r="U360" s="238" t="s">
        <v>145</v>
      </c>
      <c r="V360" s="269"/>
      <c r="W360" s="266"/>
      <c r="X360" s="266"/>
      <c r="Y360" s="267"/>
      <c r="Z360" s="269"/>
      <c r="AA360" s="269"/>
      <c r="AB360" s="269"/>
      <c r="AC360" s="269"/>
      <c r="AD360" s="269"/>
      <c r="AE360" s="269"/>
      <c r="AF360" s="327"/>
      <c r="AG360" s="269"/>
      <c r="AH360" s="269"/>
    </row>
    <row r="361" spans="1:34" s="107" customFormat="1">
      <c r="A361" s="276" t="s">
        <v>890</v>
      </c>
      <c r="B361" s="276"/>
      <c r="C361" s="277" t="s">
        <v>883</v>
      </c>
      <c r="D361" s="283" t="s">
        <v>1094</v>
      </c>
      <c r="E361" s="283" t="s">
        <v>1094</v>
      </c>
      <c r="F361" s="283" t="s">
        <v>1094</v>
      </c>
      <c r="G361" s="283" t="s">
        <v>1094</v>
      </c>
      <c r="H361" s="283" t="s">
        <v>1094</v>
      </c>
      <c r="I361" s="283" t="s">
        <v>1094</v>
      </c>
      <c r="J361" s="283" t="s">
        <v>1094</v>
      </c>
      <c r="K361" s="337">
        <v>1.0000000000000001E-5</v>
      </c>
      <c r="L361" s="337" t="s">
        <v>1094</v>
      </c>
      <c r="M361" s="337" t="s">
        <v>1094</v>
      </c>
      <c r="N361" s="337" t="s">
        <v>1094</v>
      </c>
      <c r="O361" s="416" t="s">
        <v>1094</v>
      </c>
      <c r="P361" s="416" t="s">
        <v>1094</v>
      </c>
      <c r="Q361" s="416" t="s">
        <v>1094</v>
      </c>
      <c r="R361" s="416" t="s">
        <v>1094</v>
      </c>
      <c r="S361" s="416" t="s">
        <v>1094</v>
      </c>
      <c r="T361" s="416" t="s">
        <v>1094</v>
      </c>
      <c r="U361" s="416" t="s">
        <v>1094</v>
      </c>
      <c r="V361" s="269"/>
      <c r="W361" s="266"/>
      <c r="X361" s="266"/>
      <c r="Y361" s="267"/>
      <c r="Z361" s="269"/>
      <c r="AA361" s="269"/>
      <c r="AB361" s="269"/>
      <c r="AC361" s="269"/>
      <c r="AD361" s="269"/>
      <c r="AE361" s="269"/>
      <c r="AF361" s="327"/>
      <c r="AG361" s="269"/>
      <c r="AH361" s="269"/>
    </row>
    <row r="362" spans="1:34" s="107" customFormat="1">
      <c r="A362" s="242" t="s">
        <v>853</v>
      </c>
      <c r="B362" s="282" t="s">
        <v>1072</v>
      </c>
      <c r="C362" s="121" t="s">
        <v>668</v>
      </c>
      <c r="D362" s="493" t="s">
        <v>1094</v>
      </c>
      <c r="E362" s="493" t="s">
        <v>1094</v>
      </c>
      <c r="F362" s="493" t="s">
        <v>883</v>
      </c>
      <c r="G362" s="283" t="s">
        <v>1094</v>
      </c>
      <c r="H362" s="283" t="s">
        <v>1094</v>
      </c>
      <c r="I362" s="493" t="s">
        <v>883</v>
      </c>
      <c r="J362" s="493" t="s">
        <v>1094</v>
      </c>
      <c r="K362" s="416">
        <v>8.0357142857142853E-5</v>
      </c>
      <c r="L362" s="452" t="s">
        <v>1094</v>
      </c>
      <c r="M362" s="452" t="s">
        <v>1094</v>
      </c>
      <c r="N362" s="452" t="s">
        <v>1094</v>
      </c>
      <c r="O362" s="405" t="s">
        <v>1094</v>
      </c>
      <c r="P362" s="405" t="s">
        <v>1094</v>
      </c>
      <c r="Q362" s="405" t="s">
        <v>1094</v>
      </c>
      <c r="R362" s="405" t="s">
        <v>1094</v>
      </c>
      <c r="S362" s="405" t="s">
        <v>1094</v>
      </c>
      <c r="T362" s="405" t="s">
        <v>1094</v>
      </c>
      <c r="U362" s="405" t="s">
        <v>1094</v>
      </c>
      <c r="V362" s="269"/>
      <c r="W362" s="266"/>
      <c r="X362" s="266"/>
      <c r="Y362" s="267"/>
      <c r="Z362" s="269"/>
      <c r="AA362" s="269"/>
      <c r="AB362" s="269"/>
      <c r="AC362" s="269"/>
      <c r="AD362" s="269"/>
      <c r="AE362" s="269"/>
      <c r="AF362" s="327"/>
      <c r="AG362" s="269"/>
      <c r="AH362" s="269"/>
    </row>
    <row r="363" spans="1:34" s="107" customFormat="1">
      <c r="A363" s="242" t="s">
        <v>853</v>
      </c>
      <c r="B363" s="282" t="s">
        <v>295</v>
      </c>
      <c r="C363" s="121" t="s">
        <v>762</v>
      </c>
      <c r="D363" s="493" t="s">
        <v>883</v>
      </c>
      <c r="E363" s="493" t="s">
        <v>883</v>
      </c>
      <c r="F363" s="493" t="s">
        <v>1094</v>
      </c>
      <c r="G363" s="283" t="s">
        <v>1094</v>
      </c>
      <c r="H363" s="283" t="s">
        <v>1094</v>
      </c>
      <c r="I363" s="283" t="s">
        <v>1094</v>
      </c>
      <c r="J363" s="493" t="s">
        <v>1094</v>
      </c>
      <c r="K363" s="416">
        <v>7.0312499999999997E-4</v>
      </c>
      <c r="L363" s="405" t="s">
        <v>1094</v>
      </c>
      <c r="M363" s="405" t="s">
        <v>1094</v>
      </c>
      <c r="N363" s="405" t="s">
        <v>1094</v>
      </c>
      <c r="O363" s="405" t="s">
        <v>1094</v>
      </c>
      <c r="P363" s="405" t="s">
        <v>1094</v>
      </c>
      <c r="Q363" s="405" t="s">
        <v>1094</v>
      </c>
      <c r="R363" s="405" t="s">
        <v>1094</v>
      </c>
      <c r="S363" s="405" t="s">
        <v>1094</v>
      </c>
      <c r="T363" s="405" t="s">
        <v>1094</v>
      </c>
      <c r="U363" s="405" t="s">
        <v>1094</v>
      </c>
      <c r="V363" s="269"/>
      <c r="W363" s="266"/>
      <c r="X363" s="266"/>
      <c r="Y363" s="267"/>
      <c r="Z363" s="269"/>
      <c r="AA363" s="269"/>
      <c r="AB363" s="269"/>
      <c r="AC363" s="269"/>
      <c r="AD363" s="269"/>
      <c r="AE363" s="269"/>
      <c r="AF363" s="327"/>
      <c r="AG363" s="269"/>
      <c r="AH363" s="269"/>
    </row>
    <row r="364" spans="1:34" s="107" customFormat="1">
      <c r="A364" s="242" t="s">
        <v>853</v>
      </c>
      <c r="B364" s="282" t="s">
        <v>296</v>
      </c>
      <c r="C364" s="106" t="s">
        <v>810</v>
      </c>
      <c r="D364" s="491" t="s">
        <v>1094</v>
      </c>
      <c r="E364" s="493" t="s">
        <v>883</v>
      </c>
      <c r="F364" s="493" t="s">
        <v>883</v>
      </c>
      <c r="G364" s="283" t="s">
        <v>1094</v>
      </c>
      <c r="H364" s="493" t="s">
        <v>1094</v>
      </c>
      <c r="I364" s="493" t="s">
        <v>883</v>
      </c>
      <c r="J364" s="493" t="s">
        <v>883</v>
      </c>
      <c r="K364" s="416">
        <v>1.4705882352941176E-3</v>
      </c>
      <c r="L364" s="405" t="s">
        <v>1094</v>
      </c>
      <c r="M364" s="405" t="s">
        <v>1094</v>
      </c>
      <c r="N364" s="405" t="s">
        <v>1094</v>
      </c>
      <c r="O364" s="405" t="s">
        <v>1094</v>
      </c>
      <c r="P364" s="405" t="s">
        <v>1094</v>
      </c>
      <c r="Q364" s="405" t="s">
        <v>1094</v>
      </c>
      <c r="R364" s="405" t="s">
        <v>1094</v>
      </c>
      <c r="S364" s="405" t="s">
        <v>1094</v>
      </c>
      <c r="T364" s="405" t="s">
        <v>1094</v>
      </c>
      <c r="U364" s="405" t="s">
        <v>1094</v>
      </c>
      <c r="V364" s="269"/>
      <c r="W364" s="266"/>
      <c r="X364" s="266"/>
      <c r="Y364" s="267"/>
      <c r="Z364" s="269"/>
      <c r="AA364" s="269"/>
      <c r="AB364" s="269"/>
      <c r="AC364" s="269"/>
      <c r="AD364" s="269"/>
      <c r="AE364" s="269"/>
      <c r="AF364" s="327"/>
      <c r="AG364" s="269"/>
      <c r="AH364" s="269"/>
    </row>
    <row r="365" spans="1:34" s="107" customFormat="1">
      <c r="A365" s="529" t="s">
        <v>853</v>
      </c>
      <c r="B365" s="530" t="s">
        <v>11165</v>
      </c>
      <c r="C365" s="550" t="s">
        <v>11164</v>
      </c>
      <c r="D365" s="547" t="s">
        <v>883</v>
      </c>
      <c r="E365" s="547" t="s">
        <v>883</v>
      </c>
      <c r="F365" s="547" t="s">
        <v>1094</v>
      </c>
      <c r="G365" s="548" t="s">
        <v>883</v>
      </c>
      <c r="H365" s="548" t="s">
        <v>883</v>
      </c>
      <c r="I365" s="547" t="s">
        <v>1094</v>
      </c>
      <c r="J365" s="547" t="s">
        <v>883</v>
      </c>
      <c r="K365" s="533">
        <v>3.1746031746031746E-4</v>
      </c>
      <c r="L365" s="547" t="s">
        <v>883</v>
      </c>
      <c r="M365" s="547" t="s">
        <v>883</v>
      </c>
      <c r="N365" s="547" t="s">
        <v>883</v>
      </c>
      <c r="O365" s="547" t="s">
        <v>1094</v>
      </c>
      <c r="P365" s="533" t="s">
        <v>1094</v>
      </c>
      <c r="Q365" s="547" t="s">
        <v>1094</v>
      </c>
      <c r="R365" s="547" t="s">
        <v>883</v>
      </c>
      <c r="S365" s="547" t="s">
        <v>883</v>
      </c>
      <c r="T365" s="547" t="s">
        <v>883</v>
      </c>
      <c r="U365" s="547" t="s">
        <v>883</v>
      </c>
      <c r="V365" s="269"/>
      <c r="W365" s="266"/>
      <c r="X365" s="266"/>
      <c r="Y365" s="267"/>
      <c r="Z365" s="269"/>
      <c r="AA365" s="269"/>
      <c r="AB365" s="269"/>
      <c r="AC365" s="269"/>
      <c r="AD365" s="269"/>
      <c r="AE365" s="269"/>
      <c r="AF365" s="327"/>
      <c r="AG365" s="269"/>
      <c r="AH365" s="269"/>
    </row>
    <row r="366" spans="1:34" s="107" customFormat="1">
      <c r="A366" s="242" t="s">
        <v>853</v>
      </c>
      <c r="B366" s="282" t="s">
        <v>297</v>
      </c>
      <c r="C366" s="106" t="s">
        <v>791</v>
      </c>
      <c r="D366" s="491" t="s">
        <v>1094</v>
      </c>
      <c r="E366" s="491" t="s">
        <v>1094</v>
      </c>
      <c r="F366" s="493" t="s">
        <v>883</v>
      </c>
      <c r="G366" s="283" t="s">
        <v>1094</v>
      </c>
      <c r="H366" s="283" t="s">
        <v>1094</v>
      </c>
      <c r="I366" s="493" t="s">
        <v>883</v>
      </c>
      <c r="J366" s="493" t="s">
        <v>883</v>
      </c>
      <c r="K366" s="416">
        <v>2.5568181818181818E-3</v>
      </c>
      <c r="L366" s="493" t="s">
        <v>883</v>
      </c>
      <c r="M366" s="405" t="s">
        <v>1094</v>
      </c>
      <c r="N366" s="493" t="s">
        <v>883</v>
      </c>
      <c r="O366" s="405" t="s">
        <v>1094</v>
      </c>
      <c r="P366" s="405" t="s">
        <v>1094</v>
      </c>
      <c r="Q366" s="405" t="s">
        <v>1094</v>
      </c>
      <c r="R366" s="493" t="s">
        <v>883</v>
      </c>
      <c r="S366" s="493" t="s">
        <v>883</v>
      </c>
      <c r="T366" s="493" t="s">
        <v>883</v>
      </c>
      <c r="U366" s="493" t="s">
        <v>883</v>
      </c>
      <c r="V366" s="269"/>
      <c r="W366" s="266"/>
      <c r="X366" s="266"/>
      <c r="Y366" s="267"/>
      <c r="Z366" s="269"/>
      <c r="AA366" s="269"/>
      <c r="AB366" s="269"/>
      <c r="AC366" s="269"/>
      <c r="AD366" s="269"/>
      <c r="AE366" s="269"/>
      <c r="AF366" s="327"/>
      <c r="AG366" s="269"/>
      <c r="AH366" s="269"/>
    </row>
    <row r="367" spans="1:34" s="107" customFormat="1">
      <c r="A367" s="242" t="s">
        <v>853</v>
      </c>
      <c r="B367" s="282" t="s">
        <v>1228</v>
      </c>
      <c r="C367" s="121" t="s">
        <v>1229</v>
      </c>
      <c r="D367" s="492" t="s">
        <v>1094</v>
      </c>
      <c r="E367" s="492" t="s">
        <v>1094</v>
      </c>
      <c r="F367" s="493" t="s">
        <v>883</v>
      </c>
      <c r="G367" s="414" t="s">
        <v>1094</v>
      </c>
      <c r="H367" s="492" t="s">
        <v>1094</v>
      </c>
      <c r="I367" s="493" t="s">
        <v>883</v>
      </c>
      <c r="J367" s="493" t="s">
        <v>883</v>
      </c>
      <c r="K367" s="416">
        <v>1.0714285714285714E-2</v>
      </c>
      <c r="L367" s="492" t="s">
        <v>1094</v>
      </c>
      <c r="M367" s="416" t="s">
        <v>1094</v>
      </c>
      <c r="N367" s="492" t="s">
        <v>1094</v>
      </c>
      <c r="O367" s="416" t="s">
        <v>1094</v>
      </c>
      <c r="P367" s="492" t="s">
        <v>1094</v>
      </c>
      <c r="Q367" s="416" t="s">
        <v>1094</v>
      </c>
      <c r="R367" s="492" t="s">
        <v>1094</v>
      </c>
      <c r="S367" s="492" t="s">
        <v>1094</v>
      </c>
      <c r="T367" s="416" t="s">
        <v>1094</v>
      </c>
      <c r="U367" s="416" t="s">
        <v>1094</v>
      </c>
      <c r="V367" s="269"/>
      <c r="W367" s="266"/>
      <c r="X367" s="266"/>
      <c r="Y367" s="267"/>
      <c r="Z367" s="269"/>
      <c r="AA367" s="269"/>
      <c r="AB367" s="269"/>
      <c r="AC367" s="269"/>
      <c r="AD367" s="269"/>
      <c r="AE367" s="269"/>
      <c r="AF367" s="327"/>
      <c r="AG367" s="269"/>
      <c r="AH367" s="269"/>
    </row>
    <row r="368" spans="1:34" s="107" customFormat="1">
      <c r="A368" s="242" t="s">
        <v>853</v>
      </c>
      <c r="B368" s="282" t="s">
        <v>298</v>
      </c>
      <c r="C368" s="106" t="s">
        <v>604</v>
      </c>
      <c r="D368" s="493" t="s">
        <v>883</v>
      </c>
      <c r="E368" s="491" t="s">
        <v>1094</v>
      </c>
      <c r="F368" s="491" t="s">
        <v>1094</v>
      </c>
      <c r="G368" s="283" t="s">
        <v>1094</v>
      </c>
      <c r="H368" s="283" t="s">
        <v>1094</v>
      </c>
      <c r="I368" s="283" t="s">
        <v>1094</v>
      </c>
      <c r="J368" s="493" t="s">
        <v>883</v>
      </c>
      <c r="K368" s="416">
        <v>5.8139534883720929E-4</v>
      </c>
      <c r="L368" s="493" t="s">
        <v>883</v>
      </c>
      <c r="M368" s="405" t="s">
        <v>1094</v>
      </c>
      <c r="N368" s="493" t="s">
        <v>883</v>
      </c>
      <c r="O368" s="493" t="s">
        <v>883</v>
      </c>
      <c r="P368" s="493" t="s">
        <v>883</v>
      </c>
      <c r="Q368" s="493" t="s">
        <v>883</v>
      </c>
      <c r="R368" s="405" t="s">
        <v>1094</v>
      </c>
      <c r="S368" s="405" t="s">
        <v>1094</v>
      </c>
      <c r="T368" s="493" t="s">
        <v>883</v>
      </c>
      <c r="U368" s="493" t="s">
        <v>883</v>
      </c>
      <c r="V368" s="269"/>
      <c r="W368" s="266"/>
      <c r="X368" s="266"/>
      <c r="Y368" s="267"/>
      <c r="Z368" s="269"/>
      <c r="AA368" s="269"/>
      <c r="AB368" s="269"/>
      <c r="AC368" s="269"/>
      <c r="AD368" s="269"/>
      <c r="AE368" s="269"/>
      <c r="AF368" s="327"/>
      <c r="AG368" s="269"/>
      <c r="AH368" s="269"/>
    </row>
    <row r="369" spans="1:34" s="107" customFormat="1">
      <c r="A369" s="242" t="s">
        <v>853</v>
      </c>
      <c r="B369" s="282" t="s">
        <v>526</v>
      </c>
      <c r="C369" s="121" t="s">
        <v>652</v>
      </c>
      <c r="D369" s="493" t="s">
        <v>1094</v>
      </c>
      <c r="E369" s="493" t="s">
        <v>1094</v>
      </c>
      <c r="F369" s="493" t="s">
        <v>883</v>
      </c>
      <c r="G369" s="283" t="s">
        <v>1094</v>
      </c>
      <c r="H369" s="283" t="s">
        <v>1094</v>
      </c>
      <c r="I369" s="493" t="s">
        <v>883</v>
      </c>
      <c r="J369" s="493" t="s">
        <v>883</v>
      </c>
      <c r="K369" s="416">
        <v>3.472222222222222E-3</v>
      </c>
      <c r="L369" s="493" t="s">
        <v>883</v>
      </c>
      <c r="M369" s="405" t="s">
        <v>1094</v>
      </c>
      <c r="N369" s="405" t="s">
        <v>1094</v>
      </c>
      <c r="O369" s="493" t="s">
        <v>883</v>
      </c>
      <c r="P369" s="405" t="s">
        <v>1094</v>
      </c>
      <c r="Q369" s="405" t="s">
        <v>1094</v>
      </c>
      <c r="R369" s="405" t="s">
        <v>1094</v>
      </c>
      <c r="S369" s="405" t="s">
        <v>1094</v>
      </c>
      <c r="T369" s="405" t="s">
        <v>1094</v>
      </c>
      <c r="U369" s="493" t="s">
        <v>883</v>
      </c>
      <c r="V369" s="269"/>
      <c r="W369" s="266"/>
      <c r="X369" s="266"/>
      <c r="Y369" s="267"/>
      <c r="Z369" s="269"/>
      <c r="AA369" s="269"/>
      <c r="AB369" s="269"/>
      <c r="AC369" s="269"/>
      <c r="AD369" s="269"/>
      <c r="AE369" s="269"/>
      <c r="AF369" s="327"/>
      <c r="AG369" s="269"/>
      <c r="AH369" s="269"/>
    </row>
    <row r="370" spans="1:34" s="107" customFormat="1">
      <c r="A370" s="529" t="s">
        <v>853</v>
      </c>
      <c r="B370" s="530" t="s">
        <v>11234</v>
      </c>
      <c r="C370" s="550" t="s">
        <v>5288</v>
      </c>
      <c r="D370" s="547" t="s">
        <v>1094</v>
      </c>
      <c r="E370" s="547" t="s">
        <v>1094</v>
      </c>
      <c r="F370" s="547" t="s">
        <v>883</v>
      </c>
      <c r="G370" s="548" t="s">
        <v>883</v>
      </c>
      <c r="H370" s="548" t="s">
        <v>1094</v>
      </c>
      <c r="I370" s="547" t="s">
        <v>883</v>
      </c>
      <c r="J370" s="547" t="s">
        <v>1094</v>
      </c>
      <c r="K370" s="533">
        <v>2.2222222222222222E-3</v>
      </c>
      <c r="L370" s="547" t="s">
        <v>883</v>
      </c>
      <c r="M370" s="533" t="s">
        <v>883</v>
      </c>
      <c r="N370" s="547" t="s">
        <v>883</v>
      </c>
      <c r="O370" s="547" t="s">
        <v>883</v>
      </c>
      <c r="P370" s="547" t="s">
        <v>1094</v>
      </c>
      <c r="Q370" s="547" t="s">
        <v>883</v>
      </c>
      <c r="R370" s="547" t="s">
        <v>883</v>
      </c>
      <c r="S370" s="547" t="s">
        <v>883</v>
      </c>
      <c r="T370" s="547" t="s">
        <v>883</v>
      </c>
      <c r="U370" s="547" t="s">
        <v>883</v>
      </c>
      <c r="V370" s="269"/>
      <c r="W370" s="266"/>
      <c r="X370" s="266"/>
      <c r="Y370" s="267"/>
      <c r="Z370" s="269"/>
      <c r="AA370" s="269"/>
      <c r="AB370" s="269"/>
      <c r="AC370" s="269"/>
      <c r="AD370" s="269"/>
      <c r="AE370" s="269"/>
      <c r="AF370" s="327"/>
      <c r="AG370" s="269"/>
      <c r="AH370" s="269"/>
    </row>
    <row r="371" spans="1:34" s="107" customFormat="1">
      <c r="A371" s="242" t="s">
        <v>853</v>
      </c>
      <c r="B371" s="282" t="s">
        <v>527</v>
      </c>
      <c r="C371" s="121" t="s">
        <v>702</v>
      </c>
      <c r="D371" s="498" t="s">
        <v>883</v>
      </c>
      <c r="E371" s="493" t="s">
        <v>1094</v>
      </c>
      <c r="F371" s="493" t="s">
        <v>1094</v>
      </c>
      <c r="G371" s="493" t="s">
        <v>883</v>
      </c>
      <c r="H371" s="283" t="s">
        <v>1094</v>
      </c>
      <c r="I371" s="493" t="s">
        <v>883</v>
      </c>
      <c r="J371" s="283" t="s">
        <v>1094</v>
      </c>
      <c r="K371" s="416">
        <v>2.6785714285714286E-3</v>
      </c>
      <c r="L371" s="493" t="s">
        <v>883</v>
      </c>
      <c r="M371" s="405" t="s">
        <v>1094</v>
      </c>
      <c r="N371" s="405" t="s">
        <v>1094</v>
      </c>
      <c r="O371" s="405" t="s">
        <v>1094</v>
      </c>
      <c r="P371" s="405" t="s">
        <v>1094</v>
      </c>
      <c r="Q371" s="493" t="s">
        <v>883</v>
      </c>
      <c r="R371" s="405" t="s">
        <v>1094</v>
      </c>
      <c r="S371" s="405" t="s">
        <v>1094</v>
      </c>
      <c r="T371" s="493" t="s">
        <v>883</v>
      </c>
      <c r="U371" s="493" t="s">
        <v>883</v>
      </c>
      <c r="V371" s="269"/>
      <c r="W371" s="266"/>
      <c r="X371" s="266"/>
      <c r="Y371" s="267"/>
      <c r="Z371" s="269"/>
      <c r="AA371" s="269"/>
      <c r="AB371" s="269"/>
      <c r="AC371" s="269"/>
      <c r="AD371" s="269"/>
      <c r="AE371" s="269"/>
      <c r="AF371" s="327"/>
      <c r="AG371" s="269"/>
      <c r="AH371" s="269"/>
    </row>
    <row r="372" spans="1:34" s="107" customFormat="1">
      <c r="A372" s="242" t="s">
        <v>853</v>
      </c>
      <c r="B372" s="282" t="s">
        <v>1231</v>
      </c>
      <c r="C372" s="121" t="s">
        <v>734</v>
      </c>
      <c r="D372" s="493" t="s">
        <v>1094</v>
      </c>
      <c r="E372" s="493" t="s">
        <v>1094</v>
      </c>
      <c r="F372" s="493" t="s">
        <v>883</v>
      </c>
      <c r="G372" s="283" t="s">
        <v>1094</v>
      </c>
      <c r="H372" s="283" t="s">
        <v>1094</v>
      </c>
      <c r="I372" s="493" t="s">
        <v>883</v>
      </c>
      <c r="J372" s="493" t="s">
        <v>883</v>
      </c>
      <c r="K372" s="416">
        <v>9.072580645161291E-5</v>
      </c>
      <c r="L372" s="405" t="s">
        <v>1094</v>
      </c>
      <c r="M372" s="405" t="s">
        <v>1094</v>
      </c>
      <c r="N372" s="405" t="s">
        <v>1094</v>
      </c>
      <c r="O372" s="405" t="s">
        <v>1094</v>
      </c>
      <c r="P372" s="405" t="s">
        <v>1094</v>
      </c>
      <c r="Q372" s="405" t="s">
        <v>1094</v>
      </c>
      <c r="R372" s="405" t="s">
        <v>1094</v>
      </c>
      <c r="S372" s="405" t="s">
        <v>1094</v>
      </c>
      <c r="T372" s="405" t="s">
        <v>1094</v>
      </c>
      <c r="U372" s="405" t="s">
        <v>1094</v>
      </c>
      <c r="V372" s="269"/>
      <c r="W372" s="266"/>
      <c r="X372" s="266"/>
      <c r="Y372" s="267"/>
      <c r="Z372" s="269"/>
      <c r="AA372" s="269"/>
      <c r="AB372" s="269"/>
      <c r="AC372" s="269"/>
      <c r="AD372" s="269"/>
      <c r="AE372" s="269"/>
      <c r="AF372" s="327"/>
      <c r="AG372" s="269"/>
      <c r="AH372" s="269"/>
    </row>
    <row r="373" spans="1:34" s="107" customFormat="1">
      <c r="A373" s="242" t="s">
        <v>853</v>
      </c>
      <c r="B373" s="297" t="s">
        <v>1232</v>
      </c>
      <c r="C373" s="121" t="s">
        <v>639</v>
      </c>
      <c r="D373" s="493" t="s">
        <v>1094</v>
      </c>
      <c r="E373" s="493" t="s">
        <v>883</v>
      </c>
      <c r="F373" s="493" t="s">
        <v>883</v>
      </c>
      <c r="G373" s="283" t="s">
        <v>1094</v>
      </c>
      <c r="H373" s="493" t="s">
        <v>1094</v>
      </c>
      <c r="I373" s="493" t="s">
        <v>883</v>
      </c>
      <c r="J373" s="493" t="s">
        <v>883</v>
      </c>
      <c r="K373" s="416">
        <v>1.3392857142857143E-3</v>
      </c>
      <c r="L373" s="493" t="s">
        <v>883</v>
      </c>
      <c r="M373" s="405" t="s">
        <v>1094</v>
      </c>
      <c r="N373" s="493" t="s">
        <v>883</v>
      </c>
      <c r="O373" s="493" t="s">
        <v>883</v>
      </c>
      <c r="P373" s="493" t="s">
        <v>883</v>
      </c>
      <c r="Q373" s="405" t="s">
        <v>1094</v>
      </c>
      <c r="R373" s="493" t="s">
        <v>883</v>
      </c>
      <c r="S373" s="493" t="s">
        <v>883</v>
      </c>
      <c r="T373" s="405" t="s">
        <v>1094</v>
      </c>
      <c r="U373" s="405" t="s">
        <v>1094</v>
      </c>
      <c r="V373" s="269"/>
      <c r="W373" s="266"/>
      <c r="X373" s="266"/>
      <c r="Y373" s="267"/>
      <c r="Z373" s="269"/>
      <c r="AA373" s="269"/>
      <c r="AB373" s="269"/>
      <c r="AC373" s="269"/>
      <c r="AD373" s="269"/>
      <c r="AE373" s="269"/>
      <c r="AF373" s="327"/>
      <c r="AG373" s="269"/>
      <c r="AH373" s="269"/>
    </row>
    <row r="374" spans="1:34" s="107" customFormat="1">
      <c r="A374" s="242" t="s">
        <v>853</v>
      </c>
      <c r="B374" s="282" t="s">
        <v>272</v>
      </c>
      <c r="C374" s="121" t="s">
        <v>743</v>
      </c>
      <c r="D374" s="492" t="s">
        <v>1094</v>
      </c>
      <c r="E374" s="493" t="s">
        <v>1094</v>
      </c>
      <c r="F374" s="493" t="s">
        <v>883</v>
      </c>
      <c r="G374" s="493" t="s">
        <v>883</v>
      </c>
      <c r="H374" s="283" t="s">
        <v>883</v>
      </c>
      <c r="I374" s="493" t="s">
        <v>883</v>
      </c>
      <c r="J374" s="283" t="s">
        <v>1094</v>
      </c>
      <c r="K374" s="416">
        <v>1.1428571428571429E-2</v>
      </c>
      <c r="L374" s="405" t="s">
        <v>1094</v>
      </c>
      <c r="M374" s="405" t="s">
        <v>1094</v>
      </c>
      <c r="N374" s="405" t="s">
        <v>1094</v>
      </c>
      <c r="O374" s="405" t="s">
        <v>1094</v>
      </c>
      <c r="P374" s="405" t="s">
        <v>1094</v>
      </c>
      <c r="Q374" s="405" t="s">
        <v>1094</v>
      </c>
      <c r="R374" s="405" t="s">
        <v>1094</v>
      </c>
      <c r="S374" s="405" t="s">
        <v>1094</v>
      </c>
      <c r="T374" s="405" t="s">
        <v>1094</v>
      </c>
      <c r="U374" s="405" t="s">
        <v>1094</v>
      </c>
      <c r="V374" s="269"/>
      <c r="W374" s="266"/>
      <c r="X374" s="266"/>
      <c r="Y374" s="267"/>
      <c r="Z374" s="269"/>
      <c r="AA374" s="269"/>
      <c r="AB374" s="269"/>
      <c r="AC374" s="269"/>
      <c r="AD374" s="269"/>
      <c r="AE374" s="269"/>
      <c r="AF374" s="327"/>
      <c r="AG374" s="269"/>
      <c r="AH374" s="269"/>
    </row>
    <row r="375" spans="1:34" s="107" customFormat="1">
      <c r="A375" s="242" t="s">
        <v>853</v>
      </c>
      <c r="B375" s="282" t="s">
        <v>299</v>
      </c>
      <c r="C375" s="122" t="s">
        <v>513</v>
      </c>
      <c r="D375" s="493" t="s">
        <v>883</v>
      </c>
      <c r="E375" s="504" t="s">
        <v>1094</v>
      </c>
      <c r="F375" s="493" t="s">
        <v>883</v>
      </c>
      <c r="G375" s="493" t="s">
        <v>883</v>
      </c>
      <c r="H375" s="493" t="s">
        <v>883</v>
      </c>
      <c r="I375" s="493" t="s">
        <v>883</v>
      </c>
      <c r="J375" s="283" t="s">
        <v>1094</v>
      </c>
      <c r="K375" s="416">
        <v>0.13392857142857142</v>
      </c>
      <c r="L375" s="493" t="s">
        <v>883</v>
      </c>
      <c r="M375" s="405" t="s">
        <v>1094</v>
      </c>
      <c r="N375" s="493" t="s">
        <v>883</v>
      </c>
      <c r="O375" s="405" t="s">
        <v>1094</v>
      </c>
      <c r="P375" s="405" t="s">
        <v>1094</v>
      </c>
      <c r="Q375" s="405" t="s">
        <v>1094</v>
      </c>
      <c r="R375" s="493" t="s">
        <v>883</v>
      </c>
      <c r="S375" s="405" t="s">
        <v>1094</v>
      </c>
      <c r="T375" s="405" t="s">
        <v>1094</v>
      </c>
      <c r="U375" s="493" t="s">
        <v>883</v>
      </c>
      <c r="V375" s="269"/>
      <c r="W375" s="266"/>
      <c r="X375" s="266"/>
      <c r="Y375" s="267"/>
      <c r="Z375" s="269"/>
      <c r="AA375" s="269"/>
      <c r="AB375" s="269"/>
      <c r="AC375" s="269"/>
      <c r="AD375" s="269"/>
      <c r="AE375" s="269"/>
      <c r="AF375" s="327"/>
      <c r="AG375" s="269"/>
      <c r="AH375" s="269"/>
    </row>
    <row r="376" spans="1:34" s="107" customFormat="1">
      <c r="A376" s="242" t="s">
        <v>853</v>
      </c>
      <c r="B376" s="282" t="s">
        <v>300</v>
      </c>
      <c r="C376" s="121" t="s">
        <v>676</v>
      </c>
      <c r="D376" s="493" t="s">
        <v>883</v>
      </c>
      <c r="E376" s="493" t="s">
        <v>883</v>
      </c>
      <c r="F376" s="493" t="s">
        <v>1094</v>
      </c>
      <c r="G376" s="283" t="s">
        <v>1094</v>
      </c>
      <c r="H376" s="283" t="s">
        <v>1094</v>
      </c>
      <c r="I376" s="283" t="s">
        <v>1094</v>
      </c>
      <c r="J376" s="493" t="s">
        <v>1094</v>
      </c>
      <c r="K376" s="416">
        <v>9.3749999999999997E-3</v>
      </c>
      <c r="L376" s="405" t="s">
        <v>1094</v>
      </c>
      <c r="M376" s="405" t="s">
        <v>1094</v>
      </c>
      <c r="N376" s="405" t="s">
        <v>1094</v>
      </c>
      <c r="O376" s="405" t="s">
        <v>1094</v>
      </c>
      <c r="P376" s="405" t="s">
        <v>1094</v>
      </c>
      <c r="Q376" s="405" t="s">
        <v>1094</v>
      </c>
      <c r="R376" s="405" t="s">
        <v>1094</v>
      </c>
      <c r="S376" s="405" t="s">
        <v>1094</v>
      </c>
      <c r="T376" s="405" t="s">
        <v>1094</v>
      </c>
      <c r="U376" s="405" t="s">
        <v>1094</v>
      </c>
      <c r="V376" s="269"/>
      <c r="W376" s="266"/>
      <c r="X376" s="266"/>
      <c r="Y376" s="267"/>
      <c r="Z376" s="269"/>
      <c r="AA376" s="269"/>
      <c r="AB376" s="269"/>
      <c r="AC376" s="269"/>
      <c r="AD376" s="269"/>
      <c r="AE376" s="269"/>
      <c r="AF376" s="327"/>
      <c r="AG376" s="269"/>
      <c r="AH376" s="269"/>
    </row>
    <row r="377" spans="1:34" s="107" customFormat="1">
      <c r="A377" s="242" t="s">
        <v>853</v>
      </c>
      <c r="B377" s="282" t="s">
        <v>301</v>
      </c>
      <c r="C377" s="106" t="s">
        <v>786</v>
      </c>
      <c r="D377" s="491" t="s">
        <v>1094</v>
      </c>
      <c r="E377" s="493" t="s">
        <v>1094</v>
      </c>
      <c r="F377" s="493" t="s">
        <v>883</v>
      </c>
      <c r="G377" s="493" t="s">
        <v>883</v>
      </c>
      <c r="H377" s="283" t="s">
        <v>1094</v>
      </c>
      <c r="I377" s="493" t="s">
        <v>883</v>
      </c>
      <c r="J377" s="283" t="s">
        <v>1094</v>
      </c>
      <c r="K377" s="416">
        <v>1.0416666666666667E-4</v>
      </c>
      <c r="L377" s="493" t="s">
        <v>883</v>
      </c>
      <c r="M377" s="405" t="s">
        <v>1094</v>
      </c>
      <c r="N377" s="405" t="s">
        <v>1094</v>
      </c>
      <c r="O377" s="405" t="s">
        <v>1094</v>
      </c>
      <c r="P377" s="405" t="s">
        <v>1094</v>
      </c>
      <c r="Q377" s="405" t="s">
        <v>1094</v>
      </c>
      <c r="R377" s="493" t="s">
        <v>883</v>
      </c>
      <c r="S377" s="493" t="s">
        <v>883</v>
      </c>
      <c r="T377" s="493" t="s">
        <v>883</v>
      </c>
      <c r="U377" s="493" t="s">
        <v>883</v>
      </c>
      <c r="V377" s="269"/>
      <c r="W377" s="266"/>
      <c r="X377" s="266"/>
      <c r="Y377" s="267"/>
      <c r="Z377" s="269"/>
      <c r="AA377" s="269"/>
      <c r="AB377" s="269"/>
      <c r="AC377" s="269"/>
      <c r="AD377" s="269"/>
      <c r="AE377" s="269"/>
      <c r="AF377" s="327"/>
      <c r="AG377" s="269"/>
      <c r="AH377" s="269"/>
    </row>
    <row r="378" spans="1:34" s="107" customFormat="1">
      <c r="A378" s="242" t="s">
        <v>853</v>
      </c>
      <c r="B378" s="297" t="s">
        <v>1234</v>
      </c>
      <c r="C378" s="108" t="s">
        <v>237</v>
      </c>
      <c r="D378" s="493" t="s">
        <v>883</v>
      </c>
      <c r="E378" s="497" t="s">
        <v>1094</v>
      </c>
      <c r="F378" s="493" t="s">
        <v>883</v>
      </c>
      <c r="G378" s="493" t="s">
        <v>883</v>
      </c>
      <c r="H378" s="283" t="s">
        <v>1094</v>
      </c>
      <c r="I378" s="493" t="s">
        <v>883</v>
      </c>
      <c r="J378" s="283" t="s">
        <v>1094</v>
      </c>
      <c r="K378" s="416">
        <v>2.24E-2</v>
      </c>
      <c r="L378" s="405" t="s">
        <v>1094</v>
      </c>
      <c r="M378" s="405" t="s">
        <v>1094</v>
      </c>
      <c r="N378" s="405" t="s">
        <v>1094</v>
      </c>
      <c r="O378" s="405" t="s">
        <v>1094</v>
      </c>
      <c r="P378" s="405" t="s">
        <v>1094</v>
      </c>
      <c r="Q378" s="405" t="s">
        <v>1094</v>
      </c>
      <c r="R378" s="405" t="s">
        <v>1094</v>
      </c>
      <c r="S378" s="405" t="s">
        <v>1094</v>
      </c>
      <c r="T378" s="405" t="s">
        <v>1094</v>
      </c>
      <c r="U378" s="405" t="s">
        <v>1094</v>
      </c>
      <c r="V378" s="269"/>
      <c r="W378" s="266"/>
      <c r="X378" s="266"/>
      <c r="Y378" s="267"/>
      <c r="Z378" s="269"/>
      <c r="AA378" s="269"/>
      <c r="AB378" s="269"/>
      <c r="AC378" s="269"/>
      <c r="AD378" s="269"/>
      <c r="AE378" s="269"/>
      <c r="AF378" s="327"/>
      <c r="AG378" s="269"/>
      <c r="AH378" s="269"/>
    </row>
    <row r="379" spans="1:34" s="107" customFormat="1">
      <c r="A379" s="242" t="s">
        <v>853</v>
      </c>
      <c r="B379" s="282" t="s">
        <v>302</v>
      </c>
      <c r="C379" s="121" t="s">
        <v>772</v>
      </c>
      <c r="D379" s="493" t="s">
        <v>883</v>
      </c>
      <c r="E379" s="493" t="s">
        <v>883</v>
      </c>
      <c r="F379" s="493" t="s">
        <v>1094</v>
      </c>
      <c r="G379" s="283" t="s">
        <v>1094</v>
      </c>
      <c r="H379" s="283" t="s">
        <v>1094</v>
      </c>
      <c r="I379" s="283" t="s">
        <v>1094</v>
      </c>
      <c r="J379" s="493" t="s">
        <v>883</v>
      </c>
      <c r="K379" s="416">
        <v>4.3010752688172043E-4</v>
      </c>
      <c r="L379" s="405" t="s">
        <v>1094</v>
      </c>
      <c r="M379" s="405" t="s">
        <v>1094</v>
      </c>
      <c r="N379" s="405" t="s">
        <v>1094</v>
      </c>
      <c r="O379" s="405" t="s">
        <v>1094</v>
      </c>
      <c r="P379" s="405" t="s">
        <v>1094</v>
      </c>
      <c r="Q379" s="405" t="s">
        <v>1094</v>
      </c>
      <c r="R379" s="405" t="s">
        <v>1094</v>
      </c>
      <c r="S379" s="405" t="s">
        <v>1094</v>
      </c>
      <c r="T379" s="405" t="s">
        <v>1094</v>
      </c>
      <c r="U379" s="405" t="s">
        <v>1094</v>
      </c>
      <c r="V379" s="269"/>
      <c r="W379" s="266"/>
      <c r="X379" s="266"/>
      <c r="Y379" s="267"/>
      <c r="Z379" s="269"/>
      <c r="AA379" s="269"/>
      <c r="AB379" s="269"/>
      <c r="AC379" s="269"/>
      <c r="AD379" s="269"/>
      <c r="AE379" s="269"/>
      <c r="AF379" s="327"/>
      <c r="AG379" s="269"/>
      <c r="AH379" s="269"/>
    </row>
    <row r="380" spans="1:34" s="107" customFormat="1">
      <c r="A380" s="300" t="s">
        <v>853</v>
      </c>
      <c r="B380" s="301" t="s">
        <v>303</v>
      </c>
      <c r="C380" s="106" t="s">
        <v>601</v>
      </c>
      <c r="D380" s="491" t="s">
        <v>1094</v>
      </c>
      <c r="E380" s="491" t="s">
        <v>1094</v>
      </c>
      <c r="F380" s="493" t="s">
        <v>883</v>
      </c>
      <c r="G380" s="450" t="s">
        <v>1094</v>
      </c>
      <c r="H380" s="450" t="s">
        <v>1094</v>
      </c>
      <c r="I380" s="493" t="s">
        <v>883</v>
      </c>
      <c r="J380" s="493" t="s">
        <v>883</v>
      </c>
      <c r="K380" s="416">
        <v>6.2500000000000003E-3</v>
      </c>
      <c r="L380" s="493" t="s">
        <v>883</v>
      </c>
      <c r="M380" s="493" t="s">
        <v>883</v>
      </c>
      <c r="N380" s="493" t="s">
        <v>883</v>
      </c>
      <c r="O380" s="493" t="s">
        <v>883</v>
      </c>
      <c r="P380" s="493" t="s">
        <v>883</v>
      </c>
      <c r="Q380" s="493" t="s">
        <v>883</v>
      </c>
      <c r="R380" s="493" t="s">
        <v>883</v>
      </c>
      <c r="S380" s="493" t="s">
        <v>883</v>
      </c>
      <c r="T380" s="405" t="s">
        <v>1094</v>
      </c>
      <c r="U380" s="493" t="s">
        <v>883</v>
      </c>
      <c r="V380" s="269"/>
      <c r="W380" s="266"/>
      <c r="X380" s="266"/>
      <c r="Y380" s="267"/>
      <c r="Z380" s="269"/>
      <c r="AA380" s="269"/>
      <c r="AB380" s="269"/>
      <c r="AC380" s="269"/>
      <c r="AD380" s="269"/>
      <c r="AE380" s="269"/>
      <c r="AF380" s="327"/>
      <c r="AG380" s="269"/>
      <c r="AH380" s="269"/>
    </row>
    <row r="381" spans="1:34" s="107" customFormat="1">
      <c r="A381" s="242" t="s">
        <v>853</v>
      </c>
      <c r="B381" s="282" t="s">
        <v>822</v>
      </c>
      <c r="C381" s="121" t="s">
        <v>698</v>
      </c>
      <c r="D381" s="493" t="s">
        <v>883</v>
      </c>
      <c r="E381" s="493" t="s">
        <v>1094</v>
      </c>
      <c r="F381" s="493" t="s">
        <v>883</v>
      </c>
      <c r="G381" s="493" t="s">
        <v>883</v>
      </c>
      <c r="H381" s="283" t="s">
        <v>883</v>
      </c>
      <c r="I381" s="493" t="s">
        <v>883</v>
      </c>
      <c r="J381" s="283" t="s">
        <v>1094</v>
      </c>
      <c r="K381" s="416">
        <v>2.0618556701030927E-2</v>
      </c>
      <c r="L381" s="405" t="s">
        <v>1094</v>
      </c>
      <c r="M381" s="405" t="s">
        <v>1094</v>
      </c>
      <c r="N381" s="405" t="s">
        <v>1094</v>
      </c>
      <c r="O381" s="405" t="s">
        <v>1094</v>
      </c>
      <c r="P381" s="405" t="s">
        <v>1094</v>
      </c>
      <c r="Q381" s="405" t="s">
        <v>1094</v>
      </c>
      <c r="R381" s="405" t="s">
        <v>1094</v>
      </c>
      <c r="S381" s="405" t="s">
        <v>1094</v>
      </c>
      <c r="T381" s="405" t="s">
        <v>1094</v>
      </c>
      <c r="U381" s="405" t="s">
        <v>1094</v>
      </c>
      <c r="V381" s="269"/>
      <c r="W381" s="266"/>
      <c r="X381" s="266"/>
      <c r="Y381" s="267"/>
      <c r="Z381" s="269"/>
      <c r="AA381" s="269"/>
      <c r="AB381" s="269"/>
      <c r="AC381" s="269"/>
      <c r="AD381" s="269"/>
      <c r="AE381" s="269"/>
      <c r="AF381" s="327"/>
      <c r="AG381" s="269"/>
      <c r="AH381" s="269"/>
    </row>
    <row r="382" spans="1:34" s="107" customFormat="1">
      <c r="A382" s="242" t="s">
        <v>853</v>
      </c>
      <c r="B382" s="282" t="s">
        <v>1087</v>
      </c>
      <c r="C382" s="121" t="s">
        <v>647</v>
      </c>
      <c r="D382" s="493" t="s">
        <v>883</v>
      </c>
      <c r="E382" s="493" t="s">
        <v>883</v>
      </c>
      <c r="F382" s="493" t="s">
        <v>1094</v>
      </c>
      <c r="G382" s="283" t="s">
        <v>1094</v>
      </c>
      <c r="H382" s="283" t="s">
        <v>1094</v>
      </c>
      <c r="I382" s="283" t="s">
        <v>1094</v>
      </c>
      <c r="J382" s="493" t="s">
        <v>883</v>
      </c>
      <c r="K382" s="416">
        <v>1.171875E-4</v>
      </c>
      <c r="L382" s="405" t="s">
        <v>1094</v>
      </c>
      <c r="M382" s="405" t="s">
        <v>1094</v>
      </c>
      <c r="N382" s="405" t="s">
        <v>1094</v>
      </c>
      <c r="O382" s="405" t="s">
        <v>1094</v>
      </c>
      <c r="P382" s="405" t="s">
        <v>1094</v>
      </c>
      <c r="Q382" s="405" t="s">
        <v>1094</v>
      </c>
      <c r="R382" s="405" t="s">
        <v>1094</v>
      </c>
      <c r="S382" s="405" t="s">
        <v>1094</v>
      </c>
      <c r="T382" s="405" t="s">
        <v>1094</v>
      </c>
      <c r="U382" s="405" t="s">
        <v>1094</v>
      </c>
      <c r="V382" s="269"/>
      <c r="W382" s="266"/>
      <c r="X382" s="266"/>
      <c r="Y382" s="267"/>
      <c r="Z382" s="269"/>
      <c r="AA382" s="269"/>
      <c r="AB382" s="269"/>
      <c r="AC382" s="269"/>
      <c r="AD382" s="269"/>
      <c r="AE382" s="269"/>
      <c r="AF382" s="327"/>
      <c r="AG382" s="269"/>
      <c r="AH382" s="269"/>
    </row>
    <row r="383" spans="1:34" s="107" customFormat="1">
      <c r="A383" s="242" t="s">
        <v>853</v>
      </c>
      <c r="B383" s="282" t="s">
        <v>304</v>
      </c>
      <c r="C383" s="121" t="s">
        <v>654</v>
      </c>
      <c r="D383" s="493" t="s">
        <v>883</v>
      </c>
      <c r="E383" s="493" t="s">
        <v>1094</v>
      </c>
      <c r="F383" s="493" t="s">
        <v>1094</v>
      </c>
      <c r="G383" s="283" t="s">
        <v>1094</v>
      </c>
      <c r="H383" s="283" t="s">
        <v>1094</v>
      </c>
      <c r="I383" s="283" t="s">
        <v>1094</v>
      </c>
      <c r="J383" s="493" t="s">
        <v>883</v>
      </c>
      <c r="K383" s="416">
        <v>3.3482142857142857E-4</v>
      </c>
      <c r="L383" s="493" t="s">
        <v>883</v>
      </c>
      <c r="M383" s="405" t="s">
        <v>1094</v>
      </c>
      <c r="N383" s="405" t="s">
        <v>1094</v>
      </c>
      <c r="O383" s="493" t="s">
        <v>883</v>
      </c>
      <c r="P383" s="493" t="s">
        <v>883</v>
      </c>
      <c r="Q383" s="493" t="s">
        <v>883</v>
      </c>
      <c r="R383" s="405" t="s">
        <v>1094</v>
      </c>
      <c r="S383" s="405" t="s">
        <v>1094</v>
      </c>
      <c r="T383" s="405" t="s">
        <v>1094</v>
      </c>
      <c r="U383" s="493" t="s">
        <v>883</v>
      </c>
      <c r="V383" s="269"/>
      <c r="W383" s="266"/>
      <c r="X383" s="266"/>
      <c r="Y383" s="267"/>
      <c r="Z383" s="269"/>
      <c r="AA383" s="269"/>
      <c r="AB383" s="269"/>
      <c r="AC383" s="269"/>
      <c r="AD383" s="269"/>
      <c r="AE383" s="269"/>
      <c r="AF383" s="327"/>
      <c r="AG383" s="269"/>
      <c r="AH383" s="269"/>
    </row>
    <row r="384" spans="1:34" s="107" customFormat="1">
      <c r="A384" s="242" t="s">
        <v>853</v>
      </c>
      <c r="B384" s="282" t="s">
        <v>305</v>
      </c>
      <c r="C384" s="121" t="s">
        <v>730</v>
      </c>
      <c r="D384" s="493" t="s">
        <v>883</v>
      </c>
      <c r="E384" s="493" t="s">
        <v>883</v>
      </c>
      <c r="F384" s="493" t="s">
        <v>1094</v>
      </c>
      <c r="G384" s="283" t="s">
        <v>1094</v>
      </c>
      <c r="H384" s="493" t="s">
        <v>883</v>
      </c>
      <c r="I384" s="283" t="s">
        <v>1094</v>
      </c>
      <c r="J384" s="493" t="s">
        <v>883</v>
      </c>
      <c r="K384" s="416">
        <v>5.0000000000000001E-3</v>
      </c>
      <c r="L384" s="493" t="s">
        <v>883</v>
      </c>
      <c r="M384" s="405" t="s">
        <v>1094</v>
      </c>
      <c r="N384" s="493" t="s">
        <v>883</v>
      </c>
      <c r="O384" s="405" t="s">
        <v>1094</v>
      </c>
      <c r="P384" s="405" t="s">
        <v>1094</v>
      </c>
      <c r="Q384" s="493" t="s">
        <v>883</v>
      </c>
      <c r="R384" s="493" t="s">
        <v>883</v>
      </c>
      <c r="S384" s="493" t="s">
        <v>883</v>
      </c>
      <c r="T384" s="493" t="s">
        <v>883</v>
      </c>
      <c r="U384" s="493" t="s">
        <v>883</v>
      </c>
      <c r="V384" s="269"/>
      <c r="W384" s="266"/>
      <c r="X384" s="266"/>
      <c r="Y384" s="267"/>
      <c r="Z384" s="269"/>
      <c r="AA384" s="269"/>
      <c r="AB384" s="269"/>
      <c r="AC384" s="269"/>
      <c r="AD384" s="269"/>
      <c r="AE384" s="269"/>
      <c r="AF384" s="327"/>
      <c r="AG384" s="269"/>
      <c r="AH384" s="269"/>
    </row>
    <row r="385" spans="1:34" s="107" customFormat="1">
      <c r="A385" s="242" t="s">
        <v>853</v>
      </c>
      <c r="B385" s="282" t="s">
        <v>1237</v>
      </c>
      <c r="C385" s="121" t="s">
        <v>737</v>
      </c>
      <c r="D385" s="493" t="s">
        <v>883</v>
      </c>
      <c r="E385" s="493" t="s">
        <v>1094</v>
      </c>
      <c r="F385" s="493" t="s">
        <v>1094</v>
      </c>
      <c r="G385" s="283" t="s">
        <v>1094</v>
      </c>
      <c r="H385" s="283" t="s">
        <v>1094</v>
      </c>
      <c r="I385" s="283" t="s">
        <v>1094</v>
      </c>
      <c r="J385" s="493" t="s">
        <v>1094</v>
      </c>
      <c r="K385" s="416">
        <v>1.308139534883721E-4</v>
      </c>
      <c r="L385" s="493" t="s">
        <v>883</v>
      </c>
      <c r="M385" s="405" t="s">
        <v>1094</v>
      </c>
      <c r="N385" s="405" t="s">
        <v>1094</v>
      </c>
      <c r="O385" s="405" t="s">
        <v>1094</v>
      </c>
      <c r="P385" s="405" t="s">
        <v>1094</v>
      </c>
      <c r="Q385" s="493" t="s">
        <v>883</v>
      </c>
      <c r="R385" s="405" t="s">
        <v>1094</v>
      </c>
      <c r="S385" s="405" t="s">
        <v>1094</v>
      </c>
      <c r="T385" s="405" t="s">
        <v>1094</v>
      </c>
      <c r="U385" s="493" t="s">
        <v>883</v>
      </c>
      <c r="V385" s="269"/>
      <c r="W385" s="266"/>
      <c r="X385" s="266"/>
      <c r="Y385" s="267"/>
      <c r="Z385" s="269"/>
      <c r="AA385" s="269"/>
      <c r="AB385" s="269"/>
      <c r="AC385" s="269"/>
      <c r="AD385" s="269"/>
      <c r="AE385" s="269"/>
      <c r="AF385" s="327"/>
      <c r="AG385" s="269"/>
      <c r="AH385" s="269"/>
    </row>
    <row r="386" spans="1:34" s="107" customFormat="1">
      <c r="A386" s="242" t="s">
        <v>853</v>
      </c>
      <c r="B386" s="282" t="s">
        <v>306</v>
      </c>
      <c r="C386" s="121" t="s">
        <v>1292</v>
      </c>
      <c r="D386" s="498" t="s">
        <v>883</v>
      </c>
      <c r="E386" s="492" t="s">
        <v>1094</v>
      </c>
      <c r="F386" s="492" t="s">
        <v>1094</v>
      </c>
      <c r="G386" s="414" t="s">
        <v>1094</v>
      </c>
      <c r="H386" s="414" t="s">
        <v>1094</v>
      </c>
      <c r="I386" s="493" t="s">
        <v>883</v>
      </c>
      <c r="J386" s="493" t="s">
        <v>883</v>
      </c>
      <c r="K386" s="416">
        <v>8.8888888888888889E-3</v>
      </c>
      <c r="L386" s="493" t="s">
        <v>883</v>
      </c>
      <c r="M386" s="416" t="s">
        <v>1094</v>
      </c>
      <c r="N386" s="493" t="s">
        <v>883</v>
      </c>
      <c r="O386" s="493" t="s">
        <v>883</v>
      </c>
      <c r="P386" s="416" t="s">
        <v>1094</v>
      </c>
      <c r="Q386" s="493" t="s">
        <v>883</v>
      </c>
      <c r="R386" s="416" t="s">
        <v>1094</v>
      </c>
      <c r="S386" s="416" t="s">
        <v>1094</v>
      </c>
      <c r="T386" s="493" t="s">
        <v>883</v>
      </c>
      <c r="U386" s="493" t="s">
        <v>883</v>
      </c>
      <c r="V386" s="269"/>
      <c r="W386" s="266"/>
      <c r="X386" s="266"/>
      <c r="Y386" s="267"/>
      <c r="Z386" s="269"/>
      <c r="AA386" s="269"/>
      <c r="AB386" s="269"/>
      <c r="AC386" s="269"/>
      <c r="AD386" s="269"/>
      <c r="AE386" s="269"/>
      <c r="AF386" s="327"/>
      <c r="AG386" s="269"/>
      <c r="AH386" s="269"/>
    </row>
    <row r="387" spans="1:34" s="107" customFormat="1">
      <c r="A387" s="242" t="s">
        <v>853</v>
      </c>
      <c r="B387" s="282" t="s">
        <v>498</v>
      </c>
      <c r="C387" s="122" t="s">
        <v>514</v>
      </c>
      <c r="D387" s="422" t="s">
        <v>1094</v>
      </c>
      <c r="E387" s="493" t="s">
        <v>883</v>
      </c>
      <c r="F387" s="493" t="s">
        <v>883</v>
      </c>
      <c r="G387" s="283" t="s">
        <v>1094</v>
      </c>
      <c r="H387" s="493" t="s">
        <v>1094</v>
      </c>
      <c r="I387" s="493" t="s">
        <v>883</v>
      </c>
      <c r="J387" s="493" t="s">
        <v>1094</v>
      </c>
      <c r="K387" s="416">
        <v>2.75E-2</v>
      </c>
      <c r="L387" s="493" t="s">
        <v>883</v>
      </c>
      <c r="M387" s="493" t="s">
        <v>883</v>
      </c>
      <c r="N387" s="493" t="s">
        <v>883</v>
      </c>
      <c r="O387" s="493" t="s">
        <v>883</v>
      </c>
      <c r="P387" s="493" t="s">
        <v>883</v>
      </c>
      <c r="Q387" s="493" t="s">
        <v>883</v>
      </c>
      <c r="R387" s="493" t="s">
        <v>883</v>
      </c>
      <c r="S387" s="493" t="s">
        <v>883</v>
      </c>
      <c r="T387" s="405" t="s">
        <v>1094</v>
      </c>
      <c r="U387" s="493" t="s">
        <v>883</v>
      </c>
      <c r="V387" s="269"/>
      <c r="W387" s="266"/>
      <c r="X387" s="266"/>
      <c r="Y387" s="267"/>
      <c r="Z387" s="269"/>
      <c r="AA387" s="269"/>
      <c r="AB387" s="269"/>
      <c r="AC387" s="269"/>
      <c r="AD387" s="269"/>
      <c r="AE387" s="269"/>
      <c r="AF387" s="327"/>
      <c r="AG387" s="269"/>
      <c r="AH387" s="269"/>
    </row>
    <row r="388" spans="1:34" s="107" customFormat="1">
      <c r="A388" s="242" t="s">
        <v>853</v>
      </c>
      <c r="B388" s="282" t="s">
        <v>307</v>
      </c>
      <c r="C388" s="106" t="s">
        <v>875</v>
      </c>
      <c r="D388" s="491" t="s">
        <v>1094</v>
      </c>
      <c r="E388" s="491" t="s">
        <v>1094</v>
      </c>
      <c r="F388" s="493" t="s">
        <v>883</v>
      </c>
      <c r="G388" s="283" t="s">
        <v>1094</v>
      </c>
      <c r="H388" s="283" t="s">
        <v>1094</v>
      </c>
      <c r="I388" s="493" t="s">
        <v>883</v>
      </c>
      <c r="J388" s="493" t="s">
        <v>883</v>
      </c>
      <c r="K388" s="416">
        <v>4.3604651162790697E-3</v>
      </c>
      <c r="L388" s="405" t="s">
        <v>1094</v>
      </c>
      <c r="M388" s="405" t="s">
        <v>1094</v>
      </c>
      <c r="N388" s="405" t="s">
        <v>1094</v>
      </c>
      <c r="O388" s="405" t="s">
        <v>1094</v>
      </c>
      <c r="P388" s="405" t="s">
        <v>1094</v>
      </c>
      <c r="Q388" s="405" t="s">
        <v>1094</v>
      </c>
      <c r="R388" s="405" t="s">
        <v>1094</v>
      </c>
      <c r="S388" s="405" t="s">
        <v>1094</v>
      </c>
      <c r="T388" s="405" t="s">
        <v>1094</v>
      </c>
      <c r="U388" s="405" t="s">
        <v>1094</v>
      </c>
      <c r="V388" s="269"/>
      <c r="W388" s="266"/>
      <c r="X388" s="266"/>
      <c r="Y388" s="267"/>
      <c r="Z388" s="269"/>
      <c r="AA388" s="269"/>
      <c r="AB388" s="269"/>
      <c r="AC388" s="269"/>
      <c r="AD388" s="269"/>
      <c r="AE388" s="269"/>
      <c r="AF388" s="327"/>
      <c r="AG388" s="269"/>
      <c r="AH388" s="269"/>
    </row>
    <row r="389" spans="1:34" s="107" customFormat="1">
      <c r="A389" s="242" t="s">
        <v>853</v>
      </c>
      <c r="B389" s="282" t="s">
        <v>308</v>
      </c>
      <c r="C389" s="106" t="s">
        <v>1074</v>
      </c>
      <c r="D389" s="493" t="s">
        <v>883</v>
      </c>
      <c r="E389" s="491" t="s">
        <v>1094</v>
      </c>
      <c r="F389" s="491" t="s">
        <v>1094</v>
      </c>
      <c r="G389" s="283" t="s">
        <v>1094</v>
      </c>
      <c r="H389" s="283" t="s">
        <v>1094</v>
      </c>
      <c r="I389" s="283" t="s">
        <v>1094</v>
      </c>
      <c r="J389" s="493" t="s">
        <v>883</v>
      </c>
      <c r="K389" s="416">
        <v>2.3437499999999999E-3</v>
      </c>
      <c r="L389" s="405" t="s">
        <v>1094</v>
      </c>
      <c r="M389" s="405" t="s">
        <v>1094</v>
      </c>
      <c r="N389" s="405" t="s">
        <v>1094</v>
      </c>
      <c r="O389" s="405" t="s">
        <v>1094</v>
      </c>
      <c r="P389" s="405" t="s">
        <v>1094</v>
      </c>
      <c r="Q389" s="405" t="s">
        <v>1094</v>
      </c>
      <c r="R389" s="405" t="s">
        <v>1094</v>
      </c>
      <c r="S389" s="405" t="s">
        <v>1094</v>
      </c>
      <c r="T389" s="405" t="s">
        <v>1094</v>
      </c>
      <c r="U389" s="405" t="s">
        <v>1094</v>
      </c>
      <c r="V389" s="269"/>
      <c r="W389" s="266"/>
      <c r="X389" s="266"/>
      <c r="Y389" s="267"/>
      <c r="Z389" s="269"/>
      <c r="AA389" s="269"/>
      <c r="AB389" s="269"/>
      <c r="AC389" s="269"/>
      <c r="AD389" s="269"/>
      <c r="AE389" s="269"/>
      <c r="AF389" s="327"/>
      <c r="AG389" s="269"/>
      <c r="AH389" s="269"/>
    </row>
    <row r="390" spans="1:34" s="107" customFormat="1">
      <c r="A390" s="242" t="s">
        <v>853</v>
      </c>
      <c r="B390" s="297" t="s">
        <v>1239</v>
      </c>
      <c r="C390" s="121" t="s">
        <v>710</v>
      </c>
      <c r="D390" s="493" t="s">
        <v>1094</v>
      </c>
      <c r="E390" s="493" t="s">
        <v>1094</v>
      </c>
      <c r="F390" s="493" t="s">
        <v>883</v>
      </c>
      <c r="G390" s="283" t="s">
        <v>1094</v>
      </c>
      <c r="H390" s="283" t="s">
        <v>1094</v>
      </c>
      <c r="I390" s="493" t="s">
        <v>883</v>
      </c>
      <c r="J390" s="493" t="s">
        <v>1094</v>
      </c>
      <c r="K390" s="416">
        <v>1.8181818181818182E-3</v>
      </c>
      <c r="L390" s="493" t="s">
        <v>1094</v>
      </c>
      <c r="M390" s="405" t="s">
        <v>1094</v>
      </c>
      <c r="N390" s="405" t="s">
        <v>1094</v>
      </c>
      <c r="O390" s="405" t="s">
        <v>1094</v>
      </c>
      <c r="P390" s="405" t="s">
        <v>1094</v>
      </c>
      <c r="Q390" s="405" t="s">
        <v>1094</v>
      </c>
      <c r="R390" s="405" t="s">
        <v>1094</v>
      </c>
      <c r="S390" s="405" t="s">
        <v>1094</v>
      </c>
      <c r="T390" s="405" t="s">
        <v>1094</v>
      </c>
      <c r="U390" s="405" t="s">
        <v>1094</v>
      </c>
      <c r="V390" s="269"/>
      <c r="W390" s="266"/>
      <c r="X390" s="266"/>
      <c r="Y390" s="267"/>
      <c r="Z390" s="269"/>
      <c r="AA390" s="269"/>
      <c r="AB390" s="269"/>
      <c r="AC390" s="269"/>
      <c r="AD390" s="269"/>
      <c r="AE390" s="269"/>
      <c r="AF390" s="327"/>
      <c r="AG390" s="269"/>
      <c r="AH390" s="269"/>
    </row>
    <row r="391" spans="1:34" s="107" customFormat="1">
      <c r="A391" s="242" t="s">
        <v>853</v>
      </c>
      <c r="B391" s="282" t="s">
        <v>309</v>
      </c>
      <c r="C391" s="106" t="s">
        <v>879</v>
      </c>
      <c r="D391" s="493" t="s">
        <v>1094</v>
      </c>
      <c r="E391" s="491" t="s">
        <v>1094</v>
      </c>
      <c r="F391" s="493" t="s">
        <v>883</v>
      </c>
      <c r="G391" s="283" t="s">
        <v>1094</v>
      </c>
      <c r="H391" s="283" t="s">
        <v>1094</v>
      </c>
      <c r="I391" s="493" t="s">
        <v>883</v>
      </c>
      <c r="J391" s="493" t="s">
        <v>883</v>
      </c>
      <c r="K391" s="416">
        <v>4.4117647058823531E-4</v>
      </c>
      <c r="L391" s="405" t="s">
        <v>1094</v>
      </c>
      <c r="M391" s="405" t="s">
        <v>1094</v>
      </c>
      <c r="N391" s="405" t="s">
        <v>1094</v>
      </c>
      <c r="O391" s="405" t="s">
        <v>1094</v>
      </c>
      <c r="P391" s="405" t="s">
        <v>1094</v>
      </c>
      <c r="Q391" s="405" t="s">
        <v>1094</v>
      </c>
      <c r="R391" s="405" t="s">
        <v>1094</v>
      </c>
      <c r="S391" s="405" t="s">
        <v>1094</v>
      </c>
      <c r="T391" s="405" t="s">
        <v>1094</v>
      </c>
      <c r="U391" s="405" t="s">
        <v>1094</v>
      </c>
      <c r="V391" s="269"/>
      <c r="W391" s="266"/>
      <c r="X391" s="266"/>
      <c r="Y391" s="267"/>
      <c r="Z391" s="269"/>
      <c r="AA391" s="269"/>
      <c r="AB391" s="269"/>
      <c r="AC391" s="269"/>
      <c r="AD391" s="269"/>
      <c r="AE391" s="269"/>
      <c r="AF391" s="327"/>
      <c r="AG391" s="269"/>
      <c r="AH391" s="269"/>
    </row>
    <row r="392" spans="1:34" s="107" customFormat="1">
      <c r="A392" s="242" t="s">
        <v>853</v>
      </c>
      <c r="B392" s="282" t="s">
        <v>310</v>
      </c>
      <c r="C392" s="106" t="s">
        <v>801</v>
      </c>
      <c r="D392" s="493" t="s">
        <v>883</v>
      </c>
      <c r="E392" s="491" t="s">
        <v>1094</v>
      </c>
      <c r="F392" s="493" t="s">
        <v>883</v>
      </c>
      <c r="G392" s="493" t="s">
        <v>883</v>
      </c>
      <c r="H392" s="493" t="s">
        <v>883</v>
      </c>
      <c r="I392" s="493" t="s">
        <v>883</v>
      </c>
      <c r="J392" s="283" t="s">
        <v>1094</v>
      </c>
      <c r="K392" s="416">
        <v>1.5909090909090907E-2</v>
      </c>
      <c r="L392" s="493" t="s">
        <v>883</v>
      </c>
      <c r="M392" s="405" t="s">
        <v>1094</v>
      </c>
      <c r="N392" s="405" t="s">
        <v>1094</v>
      </c>
      <c r="O392" s="405" t="s">
        <v>1094</v>
      </c>
      <c r="P392" s="405" t="s">
        <v>1094</v>
      </c>
      <c r="Q392" s="405" t="s">
        <v>1094</v>
      </c>
      <c r="R392" s="405" t="s">
        <v>1094</v>
      </c>
      <c r="S392" s="405" t="s">
        <v>1094</v>
      </c>
      <c r="T392" s="493" t="s">
        <v>883</v>
      </c>
      <c r="U392" s="493" t="s">
        <v>883</v>
      </c>
      <c r="V392" s="269"/>
      <c r="W392" s="266"/>
      <c r="X392" s="266"/>
      <c r="Y392" s="267"/>
      <c r="Z392" s="269"/>
      <c r="AA392" s="269"/>
      <c r="AB392" s="269"/>
      <c r="AC392" s="269"/>
      <c r="AD392" s="269"/>
      <c r="AE392" s="269"/>
      <c r="AF392" s="327"/>
      <c r="AG392" s="269"/>
      <c r="AH392" s="269"/>
    </row>
    <row r="393" spans="1:34" s="107" customFormat="1">
      <c r="A393" s="242" t="s">
        <v>853</v>
      </c>
      <c r="B393" s="282" t="s">
        <v>311</v>
      </c>
      <c r="C393" s="106" t="s">
        <v>881</v>
      </c>
      <c r="D393" s="491" t="s">
        <v>1094</v>
      </c>
      <c r="E393" s="493" t="s">
        <v>1094</v>
      </c>
      <c r="F393" s="493" t="s">
        <v>883</v>
      </c>
      <c r="G393" s="283" t="s">
        <v>1094</v>
      </c>
      <c r="H393" s="283" t="s">
        <v>1094</v>
      </c>
      <c r="I393" s="493" t="s">
        <v>883</v>
      </c>
      <c r="J393" s="493" t="s">
        <v>883</v>
      </c>
      <c r="K393" s="416">
        <v>2.1634615384615386E-3</v>
      </c>
      <c r="L393" s="405" t="s">
        <v>1094</v>
      </c>
      <c r="M393" s="405" t="s">
        <v>1094</v>
      </c>
      <c r="N393" s="405" t="s">
        <v>1094</v>
      </c>
      <c r="O393" s="405" t="s">
        <v>1094</v>
      </c>
      <c r="P393" s="405" t="s">
        <v>1094</v>
      </c>
      <c r="Q393" s="405" t="s">
        <v>1094</v>
      </c>
      <c r="R393" s="405" t="s">
        <v>1094</v>
      </c>
      <c r="S393" s="405" t="s">
        <v>1094</v>
      </c>
      <c r="T393" s="405" t="s">
        <v>1094</v>
      </c>
      <c r="U393" s="405" t="s">
        <v>1094</v>
      </c>
      <c r="V393" s="269"/>
      <c r="W393" s="266"/>
      <c r="X393" s="266"/>
      <c r="Y393" s="267"/>
      <c r="Z393" s="269"/>
      <c r="AA393" s="269"/>
      <c r="AB393" s="269"/>
      <c r="AC393" s="269"/>
      <c r="AD393" s="269"/>
      <c r="AE393" s="269"/>
      <c r="AF393" s="327"/>
      <c r="AG393" s="269"/>
      <c r="AH393" s="269"/>
    </row>
    <row r="394" spans="1:34" s="107" customFormat="1">
      <c r="A394" s="242" t="s">
        <v>853</v>
      </c>
      <c r="B394" s="282" t="s">
        <v>312</v>
      </c>
      <c r="C394" s="121" t="s">
        <v>689</v>
      </c>
      <c r="D394" s="493" t="s">
        <v>883</v>
      </c>
      <c r="E394" s="493" t="s">
        <v>883</v>
      </c>
      <c r="F394" s="493" t="s">
        <v>1094</v>
      </c>
      <c r="G394" s="283" t="s">
        <v>1094</v>
      </c>
      <c r="H394" s="283" t="s">
        <v>1094</v>
      </c>
      <c r="I394" s="283" t="s">
        <v>1094</v>
      </c>
      <c r="J394" s="493" t="s">
        <v>1094</v>
      </c>
      <c r="K394" s="416">
        <v>1.875E-4</v>
      </c>
      <c r="L394" s="405" t="s">
        <v>1094</v>
      </c>
      <c r="M394" s="405" t="s">
        <v>1094</v>
      </c>
      <c r="N394" s="405" t="s">
        <v>1094</v>
      </c>
      <c r="O394" s="405" t="s">
        <v>1094</v>
      </c>
      <c r="P394" s="405" t="s">
        <v>1094</v>
      </c>
      <c r="Q394" s="493" t="s">
        <v>883</v>
      </c>
      <c r="R394" s="405" t="s">
        <v>1094</v>
      </c>
      <c r="S394" s="405" t="s">
        <v>1094</v>
      </c>
      <c r="T394" s="493" t="s">
        <v>883</v>
      </c>
      <c r="U394" s="493" t="s">
        <v>883</v>
      </c>
      <c r="V394" s="269"/>
      <c r="W394" s="266"/>
      <c r="X394" s="266"/>
      <c r="Y394" s="267"/>
      <c r="Z394" s="269"/>
      <c r="AA394" s="269"/>
      <c r="AB394" s="269"/>
      <c r="AC394" s="269"/>
      <c r="AD394" s="269"/>
      <c r="AE394" s="269"/>
      <c r="AF394" s="327"/>
      <c r="AG394" s="269"/>
      <c r="AH394" s="269"/>
    </row>
    <row r="395" spans="1:34" s="107" customFormat="1">
      <c r="A395" s="242" t="s">
        <v>853</v>
      </c>
      <c r="B395" s="282" t="s">
        <v>313</v>
      </c>
      <c r="C395" s="121" t="s">
        <v>717</v>
      </c>
      <c r="D395" s="493" t="s">
        <v>1094</v>
      </c>
      <c r="E395" s="493" t="s">
        <v>1094</v>
      </c>
      <c r="F395" s="493" t="s">
        <v>883</v>
      </c>
      <c r="G395" s="283" t="s">
        <v>1094</v>
      </c>
      <c r="H395" s="493" t="s">
        <v>883</v>
      </c>
      <c r="I395" s="493" t="s">
        <v>883</v>
      </c>
      <c r="J395" s="493" t="s">
        <v>883</v>
      </c>
      <c r="K395" s="416">
        <v>3.6923076923076922E-3</v>
      </c>
      <c r="L395" s="493" t="s">
        <v>883</v>
      </c>
      <c r="M395" s="405" t="s">
        <v>1094</v>
      </c>
      <c r="N395" s="405" t="s">
        <v>1094</v>
      </c>
      <c r="O395" s="405" t="s">
        <v>1094</v>
      </c>
      <c r="P395" s="405" t="s">
        <v>1094</v>
      </c>
      <c r="Q395" s="405" t="s">
        <v>1094</v>
      </c>
      <c r="R395" s="405" t="s">
        <v>1094</v>
      </c>
      <c r="S395" s="405" t="s">
        <v>1094</v>
      </c>
      <c r="T395" s="405" t="s">
        <v>1094</v>
      </c>
      <c r="U395" s="405" t="s">
        <v>1094</v>
      </c>
      <c r="V395" s="269"/>
      <c r="W395" s="266"/>
      <c r="X395" s="266"/>
      <c r="Y395" s="267"/>
      <c r="Z395" s="269"/>
      <c r="AA395" s="269"/>
      <c r="AB395" s="269"/>
      <c r="AC395" s="269"/>
      <c r="AD395" s="269"/>
      <c r="AE395" s="269"/>
      <c r="AF395" s="327"/>
      <c r="AG395" s="269"/>
      <c r="AH395" s="269"/>
    </row>
    <row r="396" spans="1:34" s="107" customFormat="1">
      <c r="A396" s="242" t="s">
        <v>853</v>
      </c>
      <c r="B396" s="282" t="s">
        <v>593</v>
      </c>
      <c r="C396" s="106" t="s">
        <v>592</v>
      </c>
      <c r="D396" s="491" t="s">
        <v>1094</v>
      </c>
      <c r="E396" s="491" t="s">
        <v>1094</v>
      </c>
      <c r="F396" s="493" t="s">
        <v>883</v>
      </c>
      <c r="G396" s="283" t="s">
        <v>1094</v>
      </c>
      <c r="H396" s="493" t="s">
        <v>1094</v>
      </c>
      <c r="I396" s="493" t="s">
        <v>883</v>
      </c>
      <c r="J396" s="493" t="s">
        <v>883</v>
      </c>
      <c r="K396" s="416">
        <v>0.22221354166666665</v>
      </c>
      <c r="L396" s="493" t="s">
        <v>883</v>
      </c>
      <c r="M396" s="405" t="s">
        <v>1094</v>
      </c>
      <c r="N396" s="405" t="s">
        <v>1094</v>
      </c>
      <c r="O396" s="493" t="s">
        <v>883</v>
      </c>
      <c r="P396" s="405" t="s">
        <v>1094</v>
      </c>
      <c r="Q396" s="493" t="s">
        <v>883</v>
      </c>
      <c r="R396" s="493" t="s">
        <v>883</v>
      </c>
      <c r="S396" s="405" t="s">
        <v>1094</v>
      </c>
      <c r="T396" s="493" t="s">
        <v>883</v>
      </c>
      <c r="U396" s="493" t="s">
        <v>883</v>
      </c>
      <c r="V396" s="269"/>
      <c r="W396" s="266"/>
      <c r="X396" s="266"/>
      <c r="Y396" s="267"/>
      <c r="Z396" s="269"/>
      <c r="AA396" s="269"/>
      <c r="AB396" s="269"/>
      <c r="AC396" s="269"/>
      <c r="AD396" s="269"/>
      <c r="AE396" s="269"/>
      <c r="AF396" s="327"/>
      <c r="AG396" s="269"/>
      <c r="AH396" s="269"/>
    </row>
    <row r="397" spans="1:34" s="107" customFormat="1">
      <c r="A397" s="242" t="s">
        <v>853</v>
      </c>
      <c r="B397" s="282" t="s">
        <v>314</v>
      </c>
      <c r="C397" s="108" t="s">
        <v>256</v>
      </c>
      <c r="D397" s="499" t="s">
        <v>1094</v>
      </c>
      <c r="E397" s="492" t="s">
        <v>1094</v>
      </c>
      <c r="F397" s="498" t="s">
        <v>883</v>
      </c>
      <c r="G397" s="313" t="s">
        <v>1094</v>
      </c>
      <c r="H397" s="313" t="s">
        <v>1094</v>
      </c>
      <c r="I397" s="493" t="s">
        <v>883</v>
      </c>
      <c r="J397" s="493" t="s">
        <v>883</v>
      </c>
      <c r="K397" s="416">
        <v>7.5000000000000002E-4</v>
      </c>
      <c r="L397" s="493" t="s">
        <v>883</v>
      </c>
      <c r="M397" s="405" t="s">
        <v>1094</v>
      </c>
      <c r="N397" s="405" t="s">
        <v>1094</v>
      </c>
      <c r="O397" s="405" t="s">
        <v>1094</v>
      </c>
      <c r="P397" s="405" t="s">
        <v>1094</v>
      </c>
      <c r="Q397" s="493" t="s">
        <v>883</v>
      </c>
      <c r="R397" s="405" t="s">
        <v>1094</v>
      </c>
      <c r="S397" s="405" t="s">
        <v>1094</v>
      </c>
      <c r="T397" s="405" t="s">
        <v>1094</v>
      </c>
      <c r="U397" s="493" t="s">
        <v>883</v>
      </c>
      <c r="V397" s="269"/>
      <c r="W397" s="266"/>
      <c r="X397" s="266"/>
      <c r="Y397" s="267"/>
      <c r="Z397" s="269"/>
      <c r="AA397" s="269"/>
      <c r="AB397" s="269"/>
      <c r="AC397" s="269"/>
      <c r="AD397" s="269"/>
      <c r="AE397" s="269"/>
      <c r="AF397" s="327"/>
      <c r="AG397" s="269"/>
      <c r="AH397" s="269"/>
    </row>
    <row r="398" spans="1:34" s="107" customFormat="1">
      <c r="A398" s="242" t="s">
        <v>853</v>
      </c>
      <c r="B398" s="282" t="s">
        <v>315</v>
      </c>
      <c r="C398" s="108" t="s">
        <v>230</v>
      </c>
      <c r="D398" s="497" t="s">
        <v>1094</v>
      </c>
      <c r="E398" s="493" t="s">
        <v>883</v>
      </c>
      <c r="F398" s="493" t="s">
        <v>883</v>
      </c>
      <c r="G398" s="283" t="s">
        <v>1094</v>
      </c>
      <c r="H398" s="283" t="s">
        <v>1094</v>
      </c>
      <c r="I398" s="493" t="s">
        <v>883</v>
      </c>
      <c r="J398" s="493" t="s">
        <v>883</v>
      </c>
      <c r="K398" s="416">
        <v>1.171875E-3</v>
      </c>
      <c r="L398" s="493" t="s">
        <v>883</v>
      </c>
      <c r="M398" s="493" t="s">
        <v>883</v>
      </c>
      <c r="N398" s="493" t="s">
        <v>883</v>
      </c>
      <c r="O398" s="493" t="s">
        <v>883</v>
      </c>
      <c r="P398" s="493" t="s">
        <v>883</v>
      </c>
      <c r="Q398" s="493" t="s">
        <v>883</v>
      </c>
      <c r="R398" s="493" t="s">
        <v>883</v>
      </c>
      <c r="S398" s="493" t="s">
        <v>883</v>
      </c>
      <c r="T398" s="416" t="s">
        <v>1094</v>
      </c>
      <c r="U398" s="493" t="s">
        <v>883</v>
      </c>
      <c r="V398" s="269"/>
      <c r="W398" s="266"/>
      <c r="X398" s="266"/>
      <c r="Y398" s="267"/>
      <c r="Z398" s="269"/>
      <c r="AA398" s="269"/>
      <c r="AB398" s="269"/>
      <c r="AC398" s="269"/>
      <c r="AD398" s="269"/>
      <c r="AE398" s="269"/>
      <c r="AF398" s="327"/>
      <c r="AG398" s="269"/>
      <c r="AH398" s="269"/>
    </row>
    <row r="399" spans="1:34" s="107" customFormat="1">
      <c r="A399" s="242" t="s">
        <v>853</v>
      </c>
      <c r="B399" s="282" t="s">
        <v>316</v>
      </c>
      <c r="C399" s="121" t="s">
        <v>741</v>
      </c>
      <c r="D399" s="493" t="s">
        <v>883</v>
      </c>
      <c r="E399" s="493" t="s">
        <v>883</v>
      </c>
      <c r="F399" s="493" t="s">
        <v>1094</v>
      </c>
      <c r="G399" s="283" t="s">
        <v>883</v>
      </c>
      <c r="H399" s="283" t="s">
        <v>883</v>
      </c>
      <c r="I399" s="283" t="s">
        <v>1094</v>
      </c>
      <c r="J399" s="493" t="s">
        <v>883</v>
      </c>
      <c r="K399" s="416">
        <v>1.125E-2</v>
      </c>
      <c r="L399" s="405" t="s">
        <v>1094</v>
      </c>
      <c r="M399" s="405" t="s">
        <v>1094</v>
      </c>
      <c r="N399" s="405" t="s">
        <v>1094</v>
      </c>
      <c r="O399" s="405" t="s">
        <v>1094</v>
      </c>
      <c r="P399" s="405" t="s">
        <v>1094</v>
      </c>
      <c r="Q399" s="405" t="s">
        <v>1094</v>
      </c>
      <c r="R399" s="405" t="s">
        <v>1094</v>
      </c>
      <c r="S399" s="405" t="s">
        <v>1094</v>
      </c>
      <c r="T399" s="405" t="s">
        <v>1094</v>
      </c>
      <c r="U399" s="405" t="s">
        <v>1094</v>
      </c>
      <c r="V399" s="269"/>
      <c r="W399" s="266"/>
      <c r="X399" s="266"/>
      <c r="Y399" s="267"/>
      <c r="Z399" s="269"/>
      <c r="AA399" s="269"/>
      <c r="AB399" s="269"/>
      <c r="AC399" s="269"/>
      <c r="AD399" s="269"/>
      <c r="AE399" s="269"/>
      <c r="AF399" s="327"/>
      <c r="AG399" s="269"/>
      <c r="AH399" s="269"/>
    </row>
    <row r="400" spans="1:34" s="107" customFormat="1">
      <c r="A400" s="242" t="s">
        <v>853</v>
      </c>
      <c r="B400" s="282" t="s">
        <v>317</v>
      </c>
      <c r="C400" s="122" t="s">
        <v>515</v>
      </c>
      <c r="D400" s="504" t="s">
        <v>1094</v>
      </c>
      <c r="E400" s="493" t="s">
        <v>1094</v>
      </c>
      <c r="F400" s="493" t="s">
        <v>883</v>
      </c>
      <c r="G400" s="493" t="s">
        <v>883</v>
      </c>
      <c r="H400" s="283" t="s">
        <v>1094</v>
      </c>
      <c r="I400" s="493" t="s">
        <v>883</v>
      </c>
      <c r="J400" s="283" t="s">
        <v>1094</v>
      </c>
      <c r="K400" s="416">
        <v>2.6785714285714287E-4</v>
      </c>
      <c r="L400" s="493" t="s">
        <v>883</v>
      </c>
      <c r="M400" s="405" t="s">
        <v>1094</v>
      </c>
      <c r="N400" s="405" t="s">
        <v>1094</v>
      </c>
      <c r="O400" s="405" t="s">
        <v>1094</v>
      </c>
      <c r="P400" s="405" t="s">
        <v>1094</v>
      </c>
      <c r="Q400" s="493" t="s">
        <v>883</v>
      </c>
      <c r="R400" s="405" t="s">
        <v>1094</v>
      </c>
      <c r="S400" s="405" t="s">
        <v>1094</v>
      </c>
      <c r="T400" s="405" t="s">
        <v>1094</v>
      </c>
      <c r="U400" s="493" t="s">
        <v>883</v>
      </c>
      <c r="V400" s="269"/>
      <c r="W400" s="266"/>
      <c r="X400" s="266"/>
      <c r="Y400" s="267"/>
      <c r="Z400" s="269"/>
      <c r="AA400" s="269"/>
      <c r="AB400" s="269"/>
      <c r="AC400" s="269"/>
      <c r="AD400" s="269"/>
      <c r="AE400" s="269"/>
      <c r="AF400" s="327"/>
      <c r="AG400" s="269"/>
      <c r="AH400" s="269"/>
    </row>
    <row r="401" spans="1:34" s="107" customFormat="1">
      <c r="A401" s="242" t="s">
        <v>853</v>
      </c>
      <c r="B401" s="282" t="s">
        <v>318</v>
      </c>
      <c r="C401" s="121" t="s">
        <v>758</v>
      </c>
      <c r="D401" s="493" t="s">
        <v>883</v>
      </c>
      <c r="E401" s="493" t="s">
        <v>883</v>
      </c>
      <c r="F401" s="493" t="s">
        <v>1094</v>
      </c>
      <c r="G401" s="283" t="s">
        <v>883</v>
      </c>
      <c r="H401" s="493" t="s">
        <v>883</v>
      </c>
      <c r="I401" s="283" t="s">
        <v>1094</v>
      </c>
      <c r="J401" s="493" t="s">
        <v>883</v>
      </c>
      <c r="K401" s="416">
        <v>7.4999999999999997E-3</v>
      </c>
      <c r="L401" s="405" t="s">
        <v>1094</v>
      </c>
      <c r="M401" s="405" t="s">
        <v>1094</v>
      </c>
      <c r="N401" s="405" t="s">
        <v>1094</v>
      </c>
      <c r="O401" s="405" t="s">
        <v>1094</v>
      </c>
      <c r="P401" s="405" t="s">
        <v>1094</v>
      </c>
      <c r="Q401" s="405" t="s">
        <v>1094</v>
      </c>
      <c r="R401" s="405" t="s">
        <v>1094</v>
      </c>
      <c r="S401" s="405" t="s">
        <v>1094</v>
      </c>
      <c r="T401" s="405" t="s">
        <v>1094</v>
      </c>
      <c r="U401" s="405" t="s">
        <v>1094</v>
      </c>
      <c r="V401" s="269"/>
      <c r="W401" s="266"/>
      <c r="X401" s="266"/>
      <c r="Y401" s="267"/>
      <c r="Z401" s="269"/>
      <c r="AA401" s="269"/>
      <c r="AB401" s="269"/>
      <c r="AC401" s="269"/>
      <c r="AD401" s="269"/>
      <c r="AE401" s="269"/>
      <c r="AF401" s="327"/>
      <c r="AG401" s="269"/>
      <c r="AH401" s="269"/>
    </row>
    <row r="402" spans="1:34" s="107" customFormat="1">
      <c r="A402" s="242" t="s">
        <v>853</v>
      </c>
      <c r="B402" s="282" t="s">
        <v>319</v>
      </c>
      <c r="C402" s="108" t="s">
        <v>226</v>
      </c>
      <c r="D402" s="497" t="s">
        <v>1094</v>
      </c>
      <c r="E402" s="497" t="s">
        <v>1094</v>
      </c>
      <c r="F402" s="493" t="s">
        <v>883</v>
      </c>
      <c r="G402" s="283" t="s">
        <v>1094</v>
      </c>
      <c r="H402" s="283" t="s">
        <v>1094</v>
      </c>
      <c r="I402" s="493" t="s">
        <v>883</v>
      </c>
      <c r="J402" s="493" t="s">
        <v>883</v>
      </c>
      <c r="K402" s="416">
        <v>3.1250000000000001E-5</v>
      </c>
      <c r="L402" s="493" t="s">
        <v>883</v>
      </c>
      <c r="M402" s="405" t="s">
        <v>1094</v>
      </c>
      <c r="N402" s="405" t="s">
        <v>1094</v>
      </c>
      <c r="O402" s="405" t="s">
        <v>1094</v>
      </c>
      <c r="P402" s="405" t="s">
        <v>1094</v>
      </c>
      <c r="Q402" s="493" t="s">
        <v>883</v>
      </c>
      <c r="R402" s="405" t="s">
        <v>1094</v>
      </c>
      <c r="S402" s="405" t="s">
        <v>1094</v>
      </c>
      <c r="T402" s="493" t="s">
        <v>883</v>
      </c>
      <c r="U402" s="493" t="s">
        <v>883</v>
      </c>
      <c r="V402" s="269"/>
      <c r="W402" s="266"/>
      <c r="X402" s="266"/>
      <c r="Y402" s="267"/>
      <c r="Z402" s="269"/>
      <c r="AA402" s="269"/>
      <c r="AB402" s="269"/>
      <c r="AC402" s="269"/>
      <c r="AD402" s="269"/>
      <c r="AE402" s="269"/>
      <c r="AF402" s="327"/>
      <c r="AG402" s="269"/>
      <c r="AH402" s="269"/>
    </row>
    <row r="403" spans="1:34" s="107" customFormat="1">
      <c r="A403" s="242" t="s">
        <v>853</v>
      </c>
      <c r="B403" s="281" t="s">
        <v>1302</v>
      </c>
      <c r="C403" s="121" t="s">
        <v>673</v>
      </c>
      <c r="D403" s="493" t="s">
        <v>1094</v>
      </c>
      <c r="E403" s="493" t="s">
        <v>1094</v>
      </c>
      <c r="F403" s="493" t="s">
        <v>1094</v>
      </c>
      <c r="G403" s="283" t="s">
        <v>1094</v>
      </c>
      <c r="H403" s="283" t="s">
        <v>1094</v>
      </c>
      <c r="I403" s="283" t="s">
        <v>1094</v>
      </c>
      <c r="J403" s="493" t="s">
        <v>1094</v>
      </c>
      <c r="K403" s="416">
        <v>3.0000000000000001E-3</v>
      </c>
      <c r="L403" s="405" t="s">
        <v>1094</v>
      </c>
      <c r="M403" s="405" t="s">
        <v>1094</v>
      </c>
      <c r="N403" s="405" t="s">
        <v>1094</v>
      </c>
      <c r="O403" s="405" t="s">
        <v>1094</v>
      </c>
      <c r="P403" s="405" t="s">
        <v>1094</v>
      </c>
      <c r="Q403" s="405" t="s">
        <v>1094</v>
      </c>
      <c r="R403" s="405" t="s">
        <v>1094</v>
      </c>
      <c r="S403" s="405" t="s">
        <v>1094</v>
      </c>
      <c r="T403" s="405" t="s">
        <v>1094</v>
      </c>
      <c r="U403" s="405" t="s">
        <v>1094</v>
      </c>
      <c r="V403" s="269"/>
      <c r="W403" s="266"/>
      <c r="X403" s="266"/>
      <c r="Y403" s="267"/>
      <c r="Z403" s="269"/>
      <c r="AA403" s="269"/>
      <c r="AB403" s="269"/>
      <c r="AC403" s="269"/>
      <c r="AD403" s="269"/>
      <c r="AE403" s="269"/>
      <c r="AF403" s="327"/>
      <c r="AG403" s="269"/>
      <c r="AH403" s="269"/>
    </row>
    <row r="404" spans="1:34" s="107" customFormat="1">
      <c r="A404" s="242" t="s">
        <v>853</v>
      </c>
      <c r="B404" s="282" t="s">
        <v>320</v>
      </c>
      <c r="C404" s="121" t="s">
        <v>825</v>
      </c>
      <c r="D404" s="498" t="s">
        <v>883</v>
      </c>
      <c r="E404" s="492" t="s">
        <v>1094</v>
      </c>
      <c r="F404" s="493" t="s">
        <v>1094</v>
      </c>
      <c r="G404" s="283" t="s">
        <v>1094</v>
      </c>
      <c r="H404" s="283" t="s">
        <v>1094</v>
      </c>
      <c r="I404" s="493" t="s">
        <v>1094</v>
      </c>
      <c r="J404" s="493" t="s">
        <v>883</v>
      </c>
      <c r="K404" s="416">
        <v>1.278409090909091E-4</v>
      </c>
      <c r="L404" s="405" t="s">
        <v>1094</v>
      </c>
      <c r="M404" s="405" t="s">
        <v>1094</v>
      </c>
      <c r="N404" s="405" t="s">
        <v>1094</v>
      </c>
      <c r="O404" s="405" t="s">
        <v>1094</v>
      </c>
      <c r="P404" s="405" t="s">
        <v>1094</v>
      </c>
      <c r="Q404" s="405" t="s">
        <v>1094</v>
      </c>
      <c r="R404" s="405" t="s">
        <v>1094</v>
      </c>
      <c r="S404" s="405" t="s">
        <v>1094</v>
      </c>
      <c r="T404" s="405" t="s">
        <v>1094</v>
      </c>
      <c r="U404" s="405" t="s">
        <v>1094</v>
      </c>
      <c r="V404" s="269"/>
      <c r="W404" s="266"/>
      <c r="X404" s="266"/>
      <c r="Y404" s="267"/>
      <c r="Z404" s="269"/>
      <c r="AA404" s="269"/>
      <c r="AB404" s="269"/>
      <c r="AC404" s="269"/>
      <c r="AD404" s="269"/>
      <c r="AE404" s="269"/>
      <c r="AF404" s="327"/>
      <c r="AG404" s="269"/>
      <c r="AH404" s="269"/>
    </row>
    <row r="405" spans="1:34" s="107" customFormat="1">
      <c r="A405" s="242" t="s">
        <v>853</v>
      </c>
      <c r="B405" s="282" t="s">
        <v>321</v>
      </c>
      <c r="C405" s="121" t="s">
        <v>768</v>
      </c>
      <c r="D405" s="492" t="s">
        <v>1094</v>
      </c>
      <c r="E405" s="493" t="s">
        <v>1094</v>
      </c>
      <c r="F405" s="493" t="s">
        <v>883</v>
      </c>
      <c r="G405" s="283" t="s">
        <v>1094</v>
      </c>
      <c r="H405" s="283" t="s">
        <v>1094</v>
      </c>
      <c r="I405" s="493" t="s">
        <v>883</v>
      </c>
      <c r="J405" s="493" t="s">
        <v>883</v>
      </c>
      <c r="K405" s="416">
        <v>2.3437499999999999E-3</v>
      </c>
      <c r="L405" s="493" t="s">
        <v>883</v>
      </c>
      <c r="M405" s="405" t="s">
        <v>1094</v>
      </c>
      <c r="N405" s="405" t="s">
        <v>1094</v>
      </c>
      <c r="O405" s="493" t="s">
        <v>883</v>
      </c>
      <c r="P405" s="493" t="s">
        <v>883</v>
      </c>
      <c r="Q405" s="405" t="s">
        <v>1094</v>
      </c>
      <c r="R405" s="405" t="s">
        <v>1094</v>
      </c>
      <c r="S405" s="405" t="s">
        <v>1094</v>
      </c>
      <c r="T405" s="493" t="s">
        <v>1094</v>
      </c>
      <c r="U405" s="493" t="s">
        <v>883</v>
      </c>
      <c r="V405" s="269"/>
      <c r="W405" s="266"/>
      <c r="X405" s="266"/>
      <c r="Y405" s="267"/>
      <c r="Z405" s="269"/>
      <c r="AA405" s="269"/>
      <c r="AB405" s="269"/>
      <c r="AC405" s="269"/>
      <c r="AD405" s="269"/>
      <c r="AE405" s="269"/>
      <c r="AF405" s="327"/>
      <c r="AG405" s="269"/>
      <c r="AH405" s="269"/>
    </row>
    <row r="406" spans="1:34" s="107" customFormat="1">
      <c r="A406" s="242" t="s">
        <v>853</v>
      </c>
      <c r="B406" s="282" t="s">
        <v>322</v>
      </c>
      <c r="C406" s="108" t="s">
        <v>251</v>
      </c>
      <c r="D406" s="497" t="s">
        <v>1094</v>
      </c>
      <c r="E406" s="499" t="s">
        <v>1094</v>
      </c>
      <c r="F406" s="493" t="s">
        <v>883</v>
      </c>
      <c r="G406" s="283" t="s">
        <v>1094</v>
      </c>
      <c r="H406" s="283" t="s">
        <v>1094</v>
      </c>
      <c r="I406" s="493" t="s">
        <v>883</v>
      </c>
      <c r="J406" s="493" t="s">
        <v>883</v>
      </c>
      <c r="K406" s="416">
        <v>1.171875E-2</v>
      </c>
      <c r="L406" s="405" t="s">
        <v>1094</v>
      </c>
      <c r="M406" s="405" t="s">
        <v>1094</v>
      </c>
      <c r="N406" s="405" t="s">
        <v>1094</v>
      </c>
      <c r="O406" s="405" t="s">
        <v>1094</v>
      </c>
      <c r="P406" s="405" t="s">
        <v>1094</v>
      </c>
      <c r="Q406" s="405" t="s">
        <v>1094</v>
      </c>
      <c r="R406" s="405" t="s">
        <v>1094</v>
      </c>
      <c r="S406" s="405" t="s">
        <v>1094</v>
      </c>
      <c r="T406" s="405" t="s">
        <v>1094</v>
      </c>
      <c r="U406" s="405" t="s">
        <v>1094</v>
      </c>
      <c r="V406" s="269"/>
      <c r="W406" s="266"/>
      <c r="X406" s="266"/>
      <c r="Y406" s="267"/>
      <c r="Z406" s="269"/>
      <c r="AA406" s="269"/>
      <c r="AB406" s="269"/>
      <c r="AC406" s="269"/>
      <c r="AD406" s="269"/>
      <c r="AE406" s="269"/>
      <c r="AF406" s="327"/>
      <c r="AG406" s="269"/>
      <c r="AH406" s="269"/>
    </row>
    <row r="407" spans="1:34" s="107" customFormat="1">
      <c r="A407" s="242" t="s">
        <v>853</v>
      </c>
      <c r="B407" s="282" t="s">
        <v>818</v>
      </c>
      <c r="C407" s="121" t="s">
        <v>650</v>
      </c>
      <c r="D407" s="493" t="s">
        <v>1094</v>
      </c>
      <c r="E407" s="493" t="s">
        <v>883</v>
      </c>
      <c r="F407" s="493" t="s">
        <v>883</v>
      </c>
      <c r="G407" s="283" t="s">
        <v>1094</v>
      </c>
      <c r="H407" s="493" t="s">
        <v>883</v>
      </c>
      <c r="I407" s="493" t="s">
        <v>883</v>
      </c>
      <c r="J407" s="493" t="s">
        <v>883</v>
      </c>
      <c r="K407" s="416">
        <v>8.6956521739130438E-4</v>
      </c>
      <c r="L407" s="493" t="s">
        <v>883</v>
      </c>
      <c r="M407" s="405" t="s">
        <v>1094</v>
      </c>
      <c r="N407" s="405" t="s">
        <v>1094</v>
      </c>
      <c r="O407" s="493" t="s">
        <v>883</v>
      </c>
      <c r="P407" s="405" t="s">
        <v>1094</v>
      </c>
      <c r="Q407" s="493" t="s">
        <v>883</v>
      </c>
      <c r="R407" s="493" t="s">
        <v>883</v>
      </c>
      <c r="S407" s="405" t="s">
        <v>1094</v>
      </c>
      <c r="T407" s="493" t="s">
        <v>883</v>
      </c>
      <c r="U407" s="493" t="s">
        <v>883</v>
      </c>
      <c r="V407" s="269"/>
      <c r="W407" s="266"/>
      <c r="X407" s="266"/>
      <c r="Y407" s="267"/>
      <c r="Z407" s="269"/>
      <c r="AA407" s="269"/>
      <c r="AB407" s="269"/>
      <c r="AC407" s="269"/>
      <c r="AD407" s="269"/>
      <c r="AE407" s="269"/>
      <c r="AF407" s="327"/>
      <c r="AG407" s="269"/>
      <c r="AH407" s="269"/>
    </row>
    <row r="408" spans="1:34" s="107" customFormat="1">
      <c r="A408" s="242" t="s">
        <v>853</v>
      </c>
      <c r="B408" s="282" t="s">
        <v>323</v>
      </c>
      <c r="C408" s="121" t="s">
        <v>597</v>
      </c>
      <c r="D408" s="493" t="s">
        <v>883</v>
      </c>
      <c r="E408" s="493" t="s">
        <v>1094</v>
      </c>
      <c r="F408" s="493" t="s">
        <v>1094</v>
      </c>
      <c r="G408" s="283" t="s">
        <v>1094</v>
      </c>
      <c r="H408" s="283" t="s">
        <v>1094</v>
      </c>
      <c r="I408" s="493" t="s">
        <v>883</v>
      </c>
      <c r="J408" s="283" t="s">
        <v>1094</v>
      </c>
      <c r="K408" s="416">
        <v>1.0817307692307693E-3</v>
      </c>
      <c r="L408" s="493" t="s">
        <v>883</v>
      </c>
      <c r="M408" s="405" t="s">
        <v>1094</v>
      </c>
      <c r="N408" s="493" t="s">
        <v>883</v>
      </c>
      <c r="O408" s="405" t="s">
        <v>1094</v>
      </c>
      <c r="P408" s="493" t="s">
        <v>883</v>
      </c>
      <c r="Q408" s="405" t="s">
        <v>1094</v>
      </c>
      <c r="R408" s="405" t="s">
        <v>1094</v>
      </c>
      <c r="S408" s="493" t="s">
        <v>883</v>
      </c>
      <c r="T408" s="405" t="s">
        <v>1094</v>
      </c>
      <c r="U408" s="405" t="s">
        <v>1094</v>
      </c>
      <c r="V408" s="269"/>
      <c r="W408" s="266"/>
      <c r="X408" s="266"/>
      <c r="Y408" s="267"/>
      <c r="Z408" s="269"/>
      <c r="AA408" s="269"/>
      <c r="AB408" s="269"/>
      <c r="AC408" s="269"/>
      <c r="AD408" s="269"/>
      <c r="AE408" s="269"/>
      <c r="AF408" s="327"/>
      <c r="AG408" s="269"/>
      <c r="AH408" s="269"/>
    </row>
    <row r="409" spans="1:34" s="107" customFormat="1">
      <c r="A409" s="242" t="s">
        <v>853</v>
      </c>
      <c r="B409" s="282" t="s">
        <v>270</v>
      </c>
      <c r="C409" s="121" t="s">
        <v>706</v>
      </c>
      <c r="D409" s="493" t="s">
        <v>883</v>
      </c>
      <c r="E409" s="493" t="s">
        <v>883</v>
      </c>
      <c r="F409" s="493" t="s">
        <v>1094</v>
      </c>
      <c r="G409" s="283" t="s">
        <v>1094</v>
      </c>
      <c r="H409" s="283" t="s">
        <v>1094</v>
      </c>
      <c r="I409" s="283" t="s">
        <v>1094</v>
      </c>
      <c r="J409" s="493" t="s">
        <v>883</v>
      </c>
      <c r="K409" s="416">
        <v>2.6712328767123289E-2</v>
      </c>
      <c r="L409" s="405" t="s">
        <v>1094</v>
      </c>
      <c r="M409" s="405" t="s">
        <v>1094</v>
      </c>
      <c r="N409" s="405" t="s">
        <v>1094</v>
      </c>
      <c r="O409" s="405" t="s">
        <v>1094</v>
      </c>
      <c r="P409" s="405" t="s">
        <v>1094</v>
      </c>
      <c r="Q409" s="405" t="s">
        <v>1094</v>
      </c>
      <c r="R409" s="405" t="s">
        <v>1094</v>
      </c>
      <c r="S409" s="405" t="s">
        <v>1094</v>
      </c>
      <c r="T409" s="405" t="s">
        <v>1094</v>
      </c>
      <c r="U409" s="405" t="s">
        <v>1094</v>
      </c>
      <c r="V409" s="269"/>
      <c r="W409" s="266"/>
      <c r="X409" s="266"/>
      <c r="Y409" s="267"/>
      <c r="Z409" s="269"/>
      <c r="AA409" s="269"/>
      <c r="AB409" s="269"/>
      <c r="AC409" s="269"/>
      <c r="AD409" s="269"/>
      <c r="AE409" s="269"/>
      <c r="AF409" s="327"/>
      <c r="AG409" s="269"/>
      <c r="AH409" s="269"/>
    </row>
    <row r="410" spans="1:34" s="107" customFormat="1">
      <c r="A410" s="242" t="s">
        <v>853</v>
      </c>
      <c r="B410" s="282" t="s">
        <v>324</v>
      </c>
      <c r="C410" s="106" t="s">
        <v>813</v>
      </c>
      <c r="D410" s="493" t="s">
        <v>883</v>
      </c>
      <c r="E410" s="491" t="s">
        <v>1094</v>
      </c>
      <c r="F410" s="492" t="s">
        <v>1094</v>
      </c>
      <c r="G410" s="283" t="s">
        <v>883</v>
      </c>
      <c r="H410" s="283" t="s">
        <v>1094</v>
      </c>
      <c r="I410" s="493" t="s">
        <v>883</v>
      </c>
      <c r="J410" s="493" t="s">
        <v>1094</v>
      </c>
      <c r="K410" s="416">
        <v>2.3437499999999999E-4</v>
      </c>
      <c r="L410" s="493" t="s">
        <v>883</v>
      </c>
      <c r="M410" s="405" t="s">
        <v>1094</v>
      </c>
      <c r="N410" s="405" t="s">
        <v>1094</v>
      </c>
      <c r="O410" s="405" t="s">
        <v>1094</v>
      </c>
      <c r="P410" s="405" t="s">
        <v>1094</v>
      </c>
      <c r="Q410" s="493" t="s">
        <v>883</v>
      </c>
      <c r="R410" s="405" t="s">
        <v>1094</v>
      </c>
      <c r="S410" s="405" t="s">
        <v>1094</v>
      </c>
      <c r="T410" s="493" t="s">
        <v>883</v>
      </c>
      <c r="U410" s="493" t="s">
        <v>883</v>
      </c>
      <c r="V410" s="269"/>
      <c r="W410" s="266"/>
      <c r="X410" s="266"/>
      <c r="Y410" s="267"/>
      <c r="Z410" s="269"/>
      <c r="AA410" s="269"/>
      <c r="AB410" s="269"/>
      <c r="AC410" s="269"/>
      <c r="AD410" s="269"/>
      <c r="AE410" s="269"/>
      <c r="AF410" s="327"/>
      <c r="AG410" s="269"/>
      <c r="AH410" s="269"/>
    </row>
    <row r="411" spans="1:34" s="107" customFormat="1">
      <c r="A411" s="242" t="s">
        <v>853</v>
      </c>
      <c r="B411" s="282" t="s">
        <v>499</v>
      </c>
      <c r="C411" s="121" t="s">
        <v>777</v>
      </c>
      <c r="D411" s="493" t="s">
        <v>883</v>
      </c>
      <c r="E411" s="493" t="s">
        <v>1094</v>
      </c>
      <c r="F411" s="493" t="s">
        <v>1094</v>
      </c>
      <c r="G411" s="283" t="s">
        <v>1094</v>
      </c>
      <c r="H411" s="283" t="s">
        <v>1094</v>
      </c>
      <c r="I411" s="283" t="s">
        <v>1094</v>
      </c>
      <c r="J411" s="493" t="s">
        <v>1094</v>
      </c>
      <c r="K411" s="416">
        <v>9.3750000000000002E-5</v>
      </c>
      <c r="L411" s="405" t="s">
        <v>1094</v>
      </c>
      <c r="M411" s="405" t="s">
        <v>1094</v>
      </c>
      <c r="N411" s="405" t="s">
        <v>1094</v>
      </c>
      <c r="O411" s="405" t="s">
        <v>1094</v>
      </c>
      <c r="P411" s="405" t="s">
        <v>1094</v>
      </c>
      <c r="Q411" s="405" t="s">
        <v>1094</v>
      </c>
      <c r="R411" s="405" t="s">
        <v>1094</v>
      </c>
      <c r="S411" s="405" t="s">
        <v>1094</v>
      </c>
      <c r="T411" s="405" t="s">
        <v>1094</v>
      </c>
      <c r="U411" s="405" t="s">
        <v>1094</v>
      </c>
      <c r="V411" s="269"/>
      <c r="W411" s="266"/>
      <c r="X411" s="266"/>
      <c r="Y411" s="267"/>
      <c r="Z411" s="269"/>
      <c r="AA411" s="269"/>
      <c r="AB411" s="269"/>
      <c r="AC411" s="269"/>
      <c r="AD411" s="269"/>
      <c r="AE411" s="269"/>
      <c r="AF411" s="327"/>
      <c r="AG411" s="269"/>
      <c r="AH411" s="269"/>
    </row>
    <row r="412" spans="1:34" s="107" customFormat="1">
      <c r="A412" s="242" t="s">
        <v>853</v>
      </c>
      <c r="B412" s="282" t="s">
        <v>325</v>
      </c>
      <c r="C412" s="108" t="s">
        <v>252</v>
      </c>
      <c r="D412" s="493" t="s">
        <v>883</v>
      </c>
      <c r="E412" s="497" t="s">
        <v>1094</v>
      </c>
      <c r="F412" s="497" t="s">
        <v>1094</v>
      </c>
      <c r="G412" s="283" t="s">
        <v>1094</v>
      </c>
      <c r="H412" s="283" t="s">
        <v>1094</v>
      </c>
      <c r="I412" s="283" t="s">
        <v>1094</v>
      </c>
      <c r="J412" s="493" t="s">
        <v>1094</v>
      </c>
      <c r="K412" s="416">
        <v>1.1363636363636364E-2</v>
      </c>
      <c r="L412" s="405" t="s">
        <v>1094</v>
      </c>
      <c r="M412" s="405" t="s">
        <v>1094</v>
      </c>
      <c r="N412" s="405" t="s">
        <v>1094</v>
      </c>
      <c r="O412" s="405" t="s">
        <v>1094</v>
      </c>
      <c r="P412" s="405" t="s">
        <v>1094</v>
      </c>
      <c r="Q412" s="405" t="s">
        <v>1094</v>
      </c>
      <c r="R412" s="405" t="s">
        <v>1094</v>
      </c>
      <c r="S412" s="405" t="s">
        <v>1094</v>
      </c>
      <c r="T412" s="405" t="s">
        <v>1094</v>
      </c>
      <c r="U412" s="405" t="s">
        <v>1094</v>
      </c>
      <c r="V412" s="269"/>
      <c r="W412" s="266"/>
      <c r="X412" s="266"/>
      <c r="Y412" s="267"/>
      <c r="Z412" s="269"/>
      <c r="AA412" s="269"/>
      <c r="AB412" s="269"/>
      <c r="AC412" s="269"/>
      <c r="AD412" s="269"/>
      <c r="AE412" s="269"/>
      <c r="AF412" s="327"/>
      <c r="AG412" s="269"/>
      <c r="AH412" s="269"/>
    </row>
    <row r="413" spans="1:34" s="107" customFormat="1">
      <c r="A413" s="242" t="s">
        <v>853</v>
      </c>
      <c r="B413" s="282" t="s">
        <v>500</v>
      </c>
      <c r="C413" s="106" t="s">
        <v>607</v>
      </c>
      <c r="D413" s="493" t="s">
        <v>883</v>
      </c>
      <c r="E413" s="491" t="s">
        <v>1094</v>
      </c>
      <c r="F413" s="491" t="s">
        <v>1094</v>
      </c>
      <c r="G413" s="283" t="s">
        <v>1094</v>
      </c>
      <c r="H413" s="283" t="s">
        <v>1094</v>
      </c>
      <c r="I413" s="283" t="s">
        <v>1094</v>
      </c>
      <c r="J413" s="283" t="s">
        <v>883</v>
      </c>
      <c r="K413" s="416">
        <v>1.6000000000000001E-3</v>
      </c>
      <c r="L413" s="493" t="s">
        <v>883</v>
      </c>
      <c r="M413" s="405" t="s">
        <v>1094</v>
      </c>
      <c r="N413" s="493" t="s">
        <v>883</v>
      </c>
      <c r="O413" s="405" t="s">
        <v>1094</v>
      </c>
      <c r="P413" s="493" t="s">
        <v>883</v>
      </c>
      <c r="Q413" s="493" t="s">
        <v>883</v>
      </c>
      <c r="R413" s="493" t="s">
        <v>883</v>
      </c>
      <c r="S413" s="493" t="s">
        <v>883</v>
      </c>
      <c r="T413" s="493" t="s">
        <v>883</v>
      </c>
      <c r="U413" s="493" t="s">
        <v>883</v>
      </c>
      <c r="V413" s="269"/>
      <c r="W413" s="266"/>
      <c r="X413" s="266"/>
      <c r="Y413" s="267"/>
      <c r="Z413" s="269"/>
      <c r="AA413" s="269"/>
      <c r="AB413" s="269"/>
      <c r="AC413" s="269"/>
      <c r="AD413" s="269"/>
      <c r="AE413" s="269"/>
      <c r="AF413" s="327"/>
      <c r="AG413" s="269"/>
      <c r="AH413" s="269"/>
    </row>
    <row r="414" spans="1:34" s="107" customFormat="1">
      <c r="A414" s="242" t="s">
        <v>853</v>
      </c>
      <c r="B414" s="282" t="s">
        <v>326</v>
      </c>
      <c r="C414" s="121" t="s">
        <v>712</v>
      </c>
      <c r="D414" s="493" t="s">
        <v>883</v>
      </c>
      <c r="E414" s="493" t="s">
        <v>883</v>
      </c>
      <c r="F414" s="493" t="s">
        <v>1094</v>
      </c>
      <c r="G414" s="283" t="s">
        <v>1094</v>
      </c>
      <c r="H414" s="283" t="s">
        <v>1094</v>
      </c>
      <c r="I414" s="283" t="s">
        <v>1094</v>
      </c>
      <c r="J414" s="493" t="s">
        <v>883</v>
      </c>
      <c r="K414" s="416">
        <v>1.4423076923076923E-5</v>
      </c>
      <c r="L414" s="405" t="s">
        <v>1094</v>
      </c>
      <c r="M414" s="405" t="s">
        <v>1094</v>
      </c>
      <c r="N414" s="405" t="s">
        <v>1094</v>
      </c>
      <c r="O414" s="405" t="s">
        <v>1094</v>
      </c>
      <c r="P414" s="405" t="s">
        <v>1094</v>
      </c>
      <c r="Q414" s="405" t="s">
        <v>1094</v>
      </c>
      <c r="R414" s="405" t="s">
        <v>1094</v>
      </c>
      <c r="S414" s="405" t="s">
        <v>1094</v>
      </c>
      <c r="T414" s="405" t="s">
        <v>1094</v>
      </c>
      <c r="U414" s="405" t="s">
        <v>1094</v>
      </c>
      <c r="V414" s="269"/>
      <c r="W414" s="266"/>
      <c r="X414" s="266"/>
      <c r="Y414" s="267"/>
      <c r="Z414" s="269"/>
      <c r="AA414" s="269"/>
      <c r="AB414" s="269"/>
      <c r="AC414" s="269"/>
      <c r="AD414" s="269"/>
      <c r="AE414" s="269"/>
      <c r="AF414" s="327"/>
      <c r="AG414" s="269"/>
      <c r="AH414" s="269"/>
    </row>
    <row r="415" spans="1:34" s="107" customFormat="1">
      <c r="A415" s="242" t="s">
        <v>853</v>
      </c>
      <c r="B415" s="282" t="s">
        <v>327</v>
      </c>
      <c r="C415" s="121" t="s">
        <v>683</v>
      </c>
      <c r="D415" s="493" t="s">
        <v>1094</v>
      </c>
      <c r="E415" s="493" t="s">
        <v>883</v>
      </c>
      <c r="F415" s="493" t="s">
        <v>883</v>
      </c>
      <c r="G415" s="283" t="s">
        <v>1094</v>
      </c>
      <c r="H415" s="283" t="s">
        <v>1094</v>
      </c>
      <c r="I415" s="493" t="s">
        <v>883</v>
      </c>
      <c r="J415" s="493" t="s">
        <v>883</v>
      </c>
      <c r="K415" s="416">
        <v>4.2857142857142859E-3</v>
      </c>
      <c r="L415" s="493" t="s">
        <v>883</v>
      </c>
      <c r="M415" s="405" t="s">
        <v>1094</v>
      </c>
      <c r="N415" s="493" t="s">
        <v>883</v>
      </c>
      <c r="O415" s="493" t="s">
        <v>883</v>
      </c>
      <c r="P415" s="493" t="s">
        <v>883</v>
      </c>
      <c r="Q415" s="405" t="s">
        <v>1094</v>
      </c>
      <c r="R415" s="493" t="s">
        <v>883</v>
      </c>
      <c r="S415" s="493" t="s">
        <v>883</v>
      </c>
      <c r="T415" s="405" t="s">
        <v>1094</v>
      </c>
      <c r="U415" s="405" t="s">
        <v>1094</v>
      </c>
      <c r="V415" s="269"/>
      <c r="W415" s="266"/>
      <c r="X415" s="266"/>
      <c r="Y415" s="267"/>
      <c r="Z415" s="269"/>
      <c r="AA415" s="269"/>
      <c r="AB415" s="269"/>
      <c r="AC415" s="269"/>
      <c r="AD415" s="269"/>
      <c r="AE415" s="269"/>
      <c r="AF415" s="327"/>
      <c r="AG415" s="269"/>
      <c r="AH415" s="269"/>
    </row>
    <row r="416" spans="1:34" s="107" customFormat="1">
      <c r="A416" s="242" t="s">
        <v>853</v>
      </c>
      <c r="B416" s="282" t="s">
        <v>328</v>
      </c>
      <c r="C416" s="121" t="s">
        <v>655</v>
      </c>
      <c r="D416" s="493" t="s">
        <v>1094</v>
      </c>
      <c r="E416" s="493" t="s">
        <v>1094</v>
      </c>
      <c r="F416" s="493" t="s">
        <v>883</v>
      </c>
      <c r="G416" s="283" t="s">
        <v>1094</v>
      </c>
      <c r="H416" s="283" t="s">
        <v>1094</v>
      </c>
      <c r="I416" s="493" t="s">
        <v>883</v>
      </c>
      <c r="J416" s="493" t="s">
        <v>1094</v>
      </c>
      <c r="K416" s="416">
        <v>3.635057471264368E-4</v>
      </c>
      <c r="L416" s="405" t="s">
        <v>1094</v>
      </c>
      <c r="M416" s="405" t="s">
        <v>1094</v>
      </c>
      <c r="N416" s="405" t="s">
        <v>1094</v>
      </c>
      <c r="O416" s="405" t="s">
        <v>1094</v>
      </c>
      <c r="P416" s="405" t="s">
        <v>1094</v>
      </c>
      <c r="Q416" s="405" t="s">
        <v>1094</v>
      </c>
      <c r="R416" s="405" t="s">
        <v>1094</v>
      </c>
      <c r="S416" s="405" t="s">
        <v>1094</v>
      </c>
      <c r="T416" s="405" t="s">
        <v>1094</v>
      </c>
      <c r="U416" s="405" t="s">
        <v>1094</v>
      </c>
      <c r="V416" s="269"/>
      <c r="W416" s="266"/>
      <c r="X416" s="266"/>
      <c r="Y416" s="267"/>
      <c r="Z416" s="269"/>
      <c r="AA416" s="269"/>
      <c r="AB416" s="269"/>
      <c r="AC416" s="269"/>
      <c r="AD416" s="269"/>
      <c r="AE416" s="269"/>
      <c r="AF416" s="327"/>
      <c r="AG416" s="269"/>
      <c r="AH416" s="269"/>
    </row>
    <row r="417" spans="1:34" s="107" customFormat="1">
      <c r="A417" s="529" t="s">
        <v>853</v>
      </c>
      <c r="B417" s="530" t="s">
        <v>11156</v>
      </c>
      <c r="C417" s="545" t="s">
        <v>4006</v>
      </c>
      <c r="D417" s="546" t="s">
        <v>1094</v>
      </c>
      <c r="E417" s="547" t="s">
        <v>1094</v>
      </c>
      <c r="F417" s="547" t="s">
        <v>883</v>
      </c>
      <c r="G417" s="548" t="s">
        <v>1094</v>
      </c>
      <c r="H417" s="548" t="s">
        <v>1094</v>
      </c>
      <c r="I417" s="547" t="s">
        <v>883</v>
      </c>
      <c r="J417" s="547" t="s">
        <v>1094</v>
      </c>
      <c r="K417" s="533">
        <v>5.0000000000000001E-4</v>
      </c>
      <c r="L417" s="547" t="s">
        <v>883</v>
      </c>
      <c r="M417" s="533" t="s">
        <v>883</v>
      </c>
      <c r="N417" s="533" t="s">
        <v>883</v>
      </c>
      <c r="O417" s="533" t="s">
        <v>883</v>
      </c>
      <c r="P417" s="547" t="s">
        <v>883</v>
      </c>
      <c r="Q417" s="547" t="s">
        <v>883</v>
      </c>
      <c r="R417" s="533" t="s">
        <v>1094</v>
      </c>
      <c r="S417" s="533" t="s">
        <v>1094</v>
      </c>
      <c r="T417" s="533" t="s">
        <v>883</v>
      </c>
      <c r="U417" s="533" t="s">
        <v>883</v>
      </c>
      <c r="V417" s="269"/>
      <c r="W417" s="266"/>
      <c r="X417" s="266"/>
      <c r="Y417" s="267"/>
      <c r="Z417" s="269"/>
      <c r="AA417" s="269"/>
      <c r="AB417" s="269"/>
      <c r="AC417" s="269"/>
      <c r="AD417" s="269"/>
      <c r="AE417" s="269"/>
      <c r="AF417" s="327"/>
      <c r="AG417" s="269"/>
      <c r="AH417" s="269"/>
    </row>
    <row r="418" spans="1:34" s="107" customFormat="1">
      <c r="A418" s="242" t="s">
        <v>853</v>
      </c>
      <c r="B418" s="282" t="s">
        <v>329</v>
      </c>
      <c r="C418" s="121" t="s">
        <v>622</v>
      </c>
      <c r="D418" s="493" t="s">
        <v>1094</v>
      </c>
      <c r="E418" s="493" t="s">
        <v>883</v>
      </c>
      <c r="F418" s="493" t="s">
        <v>883</v>
      </c>
      <c r="G418" s="283" t="s">
        <v>1094</v>
      </c>
      <c r="H418" s="493" t="s">
        <v>883</v>
      </c>
      <c r="I418" s="493" t="s">
        <v>883</v>
      </c>
      <c r="J418" s="493" t="s">
        <v>883</v>
      </c>
      <c r="K418" s="416">
        <v>2.9999999999999997E-4</v>
      </c>
      <c r="L418" s="493" t="s">
        <v>883</v>
      </c>
      <c r="M418" s="405" t="s">
        <v>1094</v>
      </c>
      <c r="N418" s="493" t="s">
        <v>883</v>
      </c>
      <c r="O418" s="405" t="s">
        <v>1094</v>
      </c>
      <c r="P418" s="405" t="s">
        <v>1094</v>
      </c>
      <c r="Q418" s="405" t="s">
        <v>1094</v>
      </c>
      <c r="R418" s="493" t="s">
        <v>883</v>
      </c>
      <c r="S418" s="493" t="s">
        <v>883</v>
      </c>
      <c r="T418" s="405" t="s">
        <v>1094</v>
      </c>
      <c r="U418" s="493" t="s">
        <v>883</v>
      </c>
      <c r="V418" s="269"/>
      <c r="W418" s="266"/>
      <c r="X418" s="266"/>
      <c r="Y418" s="267"/>
      <c r="Z418" s="269"/>
      <c r="AA418" s="269"/>
      <c r="AB418" s="269"/>
      <c r="AC418" s="269"/>
      <c r="AD418" s="269"/>
      <c r="AE418" s="269"/>
      <c r="AF418" s="327"/>
      <c r="AG418" s="269"/>
      <c r="AH418" s="269"/>
    </row>
    <row r="419" spans="1:34" s="107" customFormat="1">
      <c r="A419" s="242" t="s">
        <v>853</v>
      </c>
      <c r="B419" s="282" t="s">
        <v>330</v>
      </c>
      <c r="C419" s="121" t="s">
        <v>665</v>
      </c>
      <c r="D419" s="493" t="s">
        <v>1094</v>
      </c>
      <c r="E419" s="493" t="s">
        <v>1094</v>
      </c>
      <c r="F419" s="493" t="s">
        <v>883</v>
      </c>
      <c r="G419" s="283" t="s">
        <v>1094</v>
      </c>
      <c r="H419" s="283" t="s">
        <v>1094</v>
      </c>
      <c r="I419" s="493" t="s">
        <v>883</v>
      </c>
      <c r="J419" s="493" t="s">
        <v>883</v>
      </c>
      <c r="K419" s="416">
        <v>2.6785714285714286E-3</v>
      </c>
      <c r="L419" s="493" t="s">
        <v>883</v>
      </c>
      <c r="M419" s="405" t="s">
        <v>1094</v>
      </c>
      <c r="N419" s="493" t="s">
        <v>883</v>
      </c>
      <c r="O419" s="493" t="s">
        <v>883</v>
      </c>
      <c r="P419" s="493" t="s">
        <v>883</v>
      </c>
      <c r="Q419" s="493" t="s">
        <v>883</v>
      </c>
      <c r="R419" s="405" t="s">
        <v>1094</v>
      </c>
      <c r="S419" s="405" t="s">
        <v>1094</v>
      </c>
      <c r="T419" s="493" t="s">
        <v>883</v>
      </c>
      <c r="U419" s="493" t="s">
        <v>883</v>
      </c>
      <c r="V419" s="269"/>
      <c r="W419" s="266"/>
      <c r="X419" s="266"/>
      <c r="Y419" s="267"/>
      <c r="Z419" s="269"/>
      <c r="AA419" s="269"/>
      <c r="AB419" s="269"/>
      <c r="AC419" s="269"/>
      <c r="AD419" s="269"/>
      <c r="AE419" s="269"/>
      <c r="AF419" s="327"/>
      <c r="AG419" s="269"/>
      <c r="AH419" s="269"/>
    </row>
    <row r="420" spans="1:34" s="107" customFormat="1">
      <c r="A420" s="242" t="s">
        <v>853</v>
      </c>
      <c r="B420" s="282" t="s">
        <v>331</v>
      </c>
      <c r="C420" s="108" t="s">
        <v>260</v>
      </c>
      <c r="D420" s="498" t="s">
        <v>883</v>
      </c>
      <c r="E420" s="499" t="s">
        <v>1094</v>
      </c>
      <c r="F420" s="493" t="s">
        <v>1094</v>
      </c>
      <c r="G420" s="493" t="s">
        <v>883</v>
      </c>
      <c r="H420" s="283" t="s">
        <v>883</v>
      </c>
      <c r="I420" s="493" t="s">
        <v>883</v>
      </c>
      <c r="J420" s="283" t="s">
        <v>1094</v>
      </c>
      <c r="K420" s="416">
        <v>2.7650443772554373E-3</v>
      </c>
      <c r="L420" s="493" t="s">
        <v>883</v>
      </c>
      <c r="M420" s="405" t="s">
        <v>1094</v>
      </c>
      <c r="N420" s="405" t="s">
        <v>1094</v>
      </c>
      <c r="O420" s="493" t="s">
        <v>883</v>
      </c>
      <c r="P420" s="405" t="s">
        <v>1094</v>
      </c>
      <c r="Q420" s="493" t="s">
        <v>883</v>
      </c>
      <c r="R420" s="405" t="s">
        <v>1094</v>
      </c>
      <c r="S420" s="405" t="s">
        <v>1094</v>
      </c>
      <c r="T420" s="405" t="s">
        <v>1094</v>
      </c>
      <c r="U420" s="405" t="s">
        <v>1094</v>
      </c>
      <c r="V420" s="269"/>
      <c r="W420" s="266"/>
      <c r="X420" s="266"/>
      <c r="Y420" s="267"/>
      <c r="Z420" s="269"/>
      <c r="AA420" s="269"/>
      <c r="AB420" s="269"/>
      <c r="AC420" s="269"/>
      <c r="AD420" s="269"/>
      <c r="AE420" s="269"/>
      <c r="AF420" s="327"/>
      <c r="AG420" s="269"/>
      <c r="AH420" s="269"/>
    </row>
    <row r="421" spans="1:34" s="107" customFormat="1">
      <c r="A421" s="242" t="s">
        <v>853</v>
      </c>
      <c r="B421" s="282" t="s">
        <v>501</v>
      </c>
      <c r="C421" s="121" t="s">
        <v>528</v>
      </c>
      <c r="D421" s="493" t="s">
        <v>1094</v>
      </c>
      <c r="E421" s="493" t="s">
        <v>1094</v>
      </c>
      <c r="F421" s="493" t="s">
        <v>883</v>
      </c>
      <c r="G421" s="493" t="s">
        <v>883</v>
      </c>
      <c r="H421" s="283" t="s">
        <v>1094</v>
      </c>
      <c r="I421" s="493" t="s">
        <v>883</v>
      </c>
      <c r="J421" s="283" t="s">
        <v>1094</v>
      </c>
      <c r="K421" s="416">
        <v>1.4999999999999999E-4</v>
      </c>
      <c r="L421" s="493" t="s">
        <v>883</v>
      </c>
      <c r="M421" s="493" t="s">
        <v>883</v>
      </c>
      <c r="N421" s="493" t="s">
        <v>883</v>
      </c>
      <c r="O421" s="493" t="s">
        <v>883</v>
      </c>
      <c r="P421" s="493" t="s">
        <v>883</v>
      </c>
      <c r="Q421" s="493" t="s">
        <v>883</v>
      </c>
      <c r="R421" s="493" t="s">
        <v>883</v>
      </c>
      <c r="S421" s="405" t="s">
        <v>1094</v>
      </c>
      <c r="T421" s="493" t="s">
        <v>883</v>
      </c>
      <c r="U421" s="493" t="s">
        <v>883</v>
      </c>
      <c r="V421" s="269"/>
      <c r="W421" s="266"/>
      <c r="X421" s="266"/>
      <c r="Y421" s="267"/>
      <c r="Z421" s="269"/>
      <c r="AA421" s="269"/>
      <c r="AB421" s="269"/>
      <c r="AC421" s="269"/>
      <c r="AD421" s="269"/>
      <c r="AE421" s="269"/>
      <c r="AF421" s="327"/>
      <c r="AG421" s="269"/>
      <c r="AH421" s="269"/>
    </row>
    <row r="422" spans="1:34" s="107" customFormat="1">
      <c r="A422" s="529" t="s">
        <v>853</v>
      </c>
      <c r="B422" s="530" t="s">
        <v>11158</v>
      </c>
      <c r="C422" s="551" t="s">
        <v>4908</v>
      </c>
      <c r="D422" s="529" t="s">
        <v>883</v>
      </c>
      <c r="E422" s="547" t="s">
        <v>1094</v>
      </c>
      <c r="F422" s="547" t="s">
        <v>883</v>
      </c>
      <c r="G422" s="548" t="s">
        <v>883</v>
      </c>
      <c r="H422" s="548" t="s">
        <v>883</v>
      </c>
      <c r="I422" s="547" t="s">
        <v>883</v>
      </c>
      <c r="J422" s="547" t="s">
        <v>1094</v>
      </c>
      <c r="K422" s="533">
        <v>1.1428571428571429E-2</v>
      </c>
      <c r="L422" s="547" t="s">
        <v>1094</v>
      </c>
      <c r="M422" s="533" t="s">
        <v>1094</v>
      </c>
      <c r="N422" s="533" t="s">
        <v>1094</v>
      </c>
      <c r="O422" s="533" t="s">
        <v>1094</v>
      </c>
      <c r="P422" s="533" t="s">
        <v>1094</v>
      </c>
      <c r="Q422" s="533" t="s">
        <v>1094</v>
      </c>
      <c r="R422" s="547" t="s">
        <v>1094</v>
      </c>
      <c r="S422" s="533" t="s">
        <v>1094</v>
      </c>
      <c r="T422" s="547" t="s">
        <v>1094</v>
      </c>
      <c r="U422" s="547" t="s">
        <v>1094</v>
      </c>
      <c r="V422" s="269"/>
      <c r="W422" s="266"/>
      <c r="X422" s="266"/>
      <c r="Y422" s="267"/>
      <c r="Z422" s="269"/>
      <c r="AA422" s="269"/>
      <c r="AB422" s="269"/>
      <c r="AC422" s="269"/>
      <c r="AD422" s="269"/>
      <c r="AE422" s="269"/>
      <c r="AF422" s="327"/>
      <c r="AG422" s="269"/>
      <c r="AH422" s="269"/>
    </row>
    <row r="423" spans="1:34" s="107" customFormat="1">
      <c r="A423" s="242" t="s">
        <v>853</v>
      </c>
      <c r="B423" s="282" t="s">
        <v>332</v>
      </c>
      <c r="C423" s="121" t="s">
        <v>728</v>
      </c>
      <c r="D423" s="493" t="s">
        <v>1094</v>
      </c>
      <c r="E423" s="493" t="s">
        <v>1094</v>
      </c>
      <c r="F423" s="493" t="s">
        <v>883</v>
      </c>
      <c r="G423" s="283" t="s">
        <v>1094</v>
      </c>
      <c r="H423" s="283" t="s">
        <v>1094</v>
      </c>
      <c r="I423" s="493" t="s">
        <v>883</v>
      </c>
      <c r="J423" s="493" t="s">
        <v>883</v>
      </c>
      <c r="K423" s="416">
        <v>1.4999999999999999E-4</v>
      </c>
      <c r="L423" s="493" t="s">
        <v>883</v>
      </c>
      <c r="M423" s="405" t="s">
        <v>1094</v>
      </c>
      <c r="N423" s="405" t="s">
        <v>1094</v>
      </c>
      <c r="O423" s="493" t="s">
        <v>883</v>
      </c>
      <c r="P423" s="405" t="s">
        <v>1094</v>
      </c>
      <c r="Q423" s="493" t="s">
        <v>883</v>
      </c>
      <c r="R423" s="493" t="s">
        <v>883</v>
      </c>
      <c r="S423" s="405" t="s">
        <v>1094</v>
      </c>
      <c r="T423" s="493" t="s">
        <v>883</v>
      </c>
      <c r="U423" s="493" t="s">
        <v>883</v>
      </c>
      <c r="V423" s="269"/>
      <c r="W423" s="266"/>
      <c r="X423" s="266"/>
      <c r="Y423" s="267"/>
      <c r="Z423" s="269"/>
      <c r="AA423" s="269"/>
      <c r="AB423" s="269"/>
      <c r="AC423" s="269"/>
      <c r="AD423" s="269"/>
      <c r="AE423" s="269"/>
      <c r="AF423" s="327"/>
      <c r="AG423" s="269"/>
      <c r="AH423" s="269"/>
    </row>
    <row r="424" spans="1:34" s="107" customFormat="1">
      <c r="A424" s="242" t="s">
        <v>853</v>
      </c>
      <c r="B424" s="282" t="s">
        <v>333</v>
      </c>
      <c r="C424" s="121" t="s">
        <v>745</v>
      </c>
      <c r="D424" s="493" t="s">
        <v>1094</v>
      </c>
      <c r="E424" s="493" t="s">
        <v>883</v>
      </c>
      <c r="F424" s="493" t="s">
        <v>883</v>
      </c>
      <c r="G424" s="493" t="s">
        <v>1094</v>
      </c>
      <c r="H424" s="283" t="s">
        <v>1094</v>
      </c>
      <c r="I424" s="493" t="s">
        <v>883</v>
      </c>
      <c r="J424" s="283" t="s">
        <v>1094</v>
      </c>
      <c r="K424" s="416">
        <v>0.03</v>
      </c>
      <c r="L424" s="493" t="s">
        <v>883</v>
      </c>
      <c r="M424" s="405" t="s">
        <v>1094</v>
      </c>
      <c r="N424" s="405" t="s">
        <v>1094</v>
      </c>
      <c r="O424" s="405" t="s">
        <v>1094</v>
      </c>
      <c r="P424" s="405" t="s">
        <v>1094</v>
      </c>
      <c r="Q424" s="405" t="s">
        <v>1094</v>
      </c>
      <c r="R424" s="493" t="s">
        <v>883</v>
      </c>
      <c r="S424" s="405" t="s">
        <v>1094</v>
      </c>
      <c r="T424" s="493" t="s">
        <v>883</v>
      </c>
      <c r="U424" s="493" t="s">
        <v>883</v>
      </c>
      <c r="V424" s="269"/>
      <c r="W424" s="266"/>
      <c r="X424" s="266"/>
      <c r="Y424" s="267"/>
      <c r="Z424" s="269"/>
      <c r="AA424" s="269"/>
      <c r="AB424" s="269"/>
      <c r="AC424" s="269"/>
      <c r="AD424" s="269"/>
      <c r="AE424" s="269"/>
      <c r="AF424" s="327"/>
      <c r="AG424" s="269"/>
      <c r="AH424" s="269"/>
    </row>
    <row r="425" spans="1:34" s="107" customFormat="1">
      <c r="A425" s="242" t="s">
        <v>853</v>
      </c>
      <c r="B425" s="282" t="s">
        <v>334</v>
      </c>
      <c r="C425" s="121" t="s">
        <v>764</v>
      </c>
      <c r="D425" s="493" t="s">
        <v>883</v>
      </c>
      <c r="E425" s="493" t="s">
        <v>1094</v>
      </c>
      <c r="F425" s="493" t="s">
        <v>883</v>
      </c>
      <c r="G425" s="493" t="s">
        <v>883</v>
      </c>
      <c r="H425" s="283" t="s">
        <v>883</v>
      </c>
      <c r="I425" s="493" t="s">
        <v>883</v>
      </c>
      <c r="J425" s="283" t="s">
        <v>1094</v>
      </c>
      <c r="K425" s="416">
        <v>3.2106164383561642E-3</v>
      </c>
      <c r="L425" s="493" t="s">
        <v>883</v>
      </c>
      <c r="M425" s="405" t="s">
        <v>1094</v>
      </c>
      <c r="N425" s="405" t="s">
        <v>1094</v>
      </c>
      <c r="O425" s="405" t="s">
        <v>1094</v>
      </c>
      <c r="P425" s="405" t="s">
        <v>1094</v>
      </c>
      <c r="Q425" s="405" t="s">
        <v>1094</v>
      </c>
      <c r="R425" s="405" t="s">
        <v>1094</v>
      </c>
      <c r="S425" s="493" t="s">
        <v>883</v>
      </c>
      <c r="T425" s="493" t="s">
        <v>883</v>
      </c>
      <c r="U425" s="405" t="s">
        <v>1094</v>
      </c>
      <c r="V425" s="269"/>
      <c r="W425" s="266"/>
      <c r="X425" s="266"/>
      <c r="Y425" s="267"/>
      <c r="Z425" s="269"/>
      <c r="AA425" s="269"/>
      <c r="AB425" s="269"/>
      <c r="AC425" s="269"/>
      <c r="AD425" s="269"/>
      <c r="AE425" s="269"/>
      <c r="AF425" s="327"/>
      <c r="AG425" s="269"/>
      <c r="AH425" s="269"/>
    </row>
    <row r="426" spans="1:34" s="107" customFormat="1">
      <c r="A426" s="337" t="s">
        <v>853</v>
      </c>
      <c r="B426" s="282" t="s">
        <v>335</v>
      </c>
      <c r="C426" s="121" t="s">
        <v>618</v>
      </c>
      <c r="D426" s="493" t="s">
        <v>1094</v>
      </c>
      <c r="E426" s="493" t="s">
        <v>1094</v>
      </c>
      <c r="F426" s="493" t="s">
        <v>883</v>
      </c>
      <c r="G426" s="283" t="s">
        <v>1094</v>
      </c>
      <c r="H426" s="283" t="s">
        <v>1094</v>
      </c>
      <c r="I426" s="493" t="s">
        <v>883</v>
      </c>
      <c r="J426" s="493" t="s">
        <v>1094</v>
      </c>
      <c r="K426" s="416">
        <v>1.9047619047619049E-2</v>
      </c>
      <c r="L426" s="493" t="s">
        <v>883</v>
      </c>
      <c r="M426" s="405" t="s">
        <v>1094</v>
      </c>
      <c r="N426" s="493" t="s">
        <v>883</v>
      </c>
      <c r="O426" s="493" t="s">
        <v>883</v>
      </c>
      <c r="P426" s="493" t="s">
        <v>883</v>
      </c>
      <c r="Q426" s="493" t="s">
        <v>883</v>
      </c>
      <c r="R426" s="405" t="s">
        <v>1094</v>
      </c>
      <c r="S426" s="405" t="s">
        <v>1094</v>
      </c>
      <c r="T426" s="405" t="s">
        <v>1094</v>
      </c>
      <c r="U426" s="493" t="s">
        <v>883</v>
      </c>
      <c r="V426" s="269"/>
      <c r="W426" s="266"/>
      <c r="X426" s="266"/>
      <c r="Y426" s="267"/>
      <c r="Z426" s="269"/>
      <c r="AA426" s="269"/>
      <c r="AB426" s="269"/>
      <c r="AC426" s="269"/>
      <c r="AD426" s="269"/>
      <c r="AE426" s="269"/>
      <c r="AF426" s="327"/>
      <c r="AG426" s="269"/>
      <c r="AH426" s="269"/>
    </row>
    <row r="427" spans="1:34" s="107" customFormat="1">
      <c r="A427" s="242" t="s">
        <v>853</v>
      </c>
      <c r="B427" s="281" t="s">
        <v>1295</v>
      </c>
      <c r="C427" s="121" t="s">
        <v>1078</v>
      </c>
      <c r="D427" s="493" t="s">
        <v>1094</v>
      </c>
      <c r="E427" s="493" t="s">
        <v>883</v>
      </c>
      <c r="F427" s="493" t="s">
        <v>883</v>
      </c>
      <c r="G427" s="283" t="s">
        <v>1094</v>
      </c>
      <c r="H427" s="283" t="s">
        <v>1094</v>
      </c>
      <c r="I427" s="493" t="s">
        <v>883</v>
      </c>
      <c r="J427" s="493" t="s">
        <v>883</v>
      </c>
      <c r="K427" s="416">
        <v>1.5625000000000001E-3</v>
      </c>
      <c r="L427" s="405" t="s">
        <v>1094</v>
      </c>
      <c r="M427" s="405" t="s">
        <v>1094</v>
      </c>
      <c r="N427" s="405" t="s">
        <v>1094</v>
      </c>
      <c r="O427" s="405" t="s">
        <v>1094</v>
      </c>
      <c r="P427" s="405" t="s">
        <v>1094</v>
      </c>
      <c r="Q427" s="405" t="s">
        <v>1094</v>
      </c>
      <c r="R427" s="405" t="s">
        <v>1094</v>
      </c>
      <c r="S427" s="405" t="s">
        <v>1094</v>
      </c>
      <c r="T427" s="405" t="s">
        <v>1094</v>
      </c>
      <c r="U427" s="405" t="s">
        <v>1094</v>
      </c>
      <c r="V427" s="269"/>
      <c r="W427" s="266"/>
      <c r="X427" s="266"/>
      <c r="Y427" s="267"/>
      <c r="Z427" s="269"/>
      <c r="AA427" s="269"/>
      <c r="AB427" s="269"/>
      <c r="AC427" s="269"/>
      <c r="AD427" s="269"/>
      <c r="AE427" s="269"/>
      <c r="AF427" s="327"/>
      <c r="AG427" s="269"/>
      <c r="AH427" s="269"/>
    </row>
    <row r="428" spans="1:34" s="107" customFormat="1">
      <c r="A428" s="242" t="s">
        <v>853</v>
      </c>
      <c r="B428" s="282" t="s">
        <v>1243</v>
      </c>
      <c r="C428" s="108" t="s">
        <v>258</v>
      </c>
      <c r="D428" s="497" t="s">
        <v>1094</v>
      </c>
      <c r="E428" s="493" t="s">
        <v>1094</v>
      </c>
      <c r="F428" s="493" t="s">
        <v>883</v>
      </c>
      <c r="G428" s="493" t="s">
        <v>883</v>
      </c>
      <c r="H428" s="283" t="s">
        <v>1094</v>
      </c>
      <c r="I428" s="493" t="s">
        <v>883</v>
      </c>
      <c r="J428" s="283" t="s">
        <v>1094</v>
      </c>
      <c r="K428" s="416">
        <v>1.153846153846154E-3</v>
      </c>
      <c r="L428" s="405" t="s">
        <v>1094</v>
      </c>
      <c r="M428" s="405" t="s">
        <v>1094</v>
      </c>
      <c r="N428" s="405" t="s">
        <v>1094</v>
      </c>
      <c r="O428" s="405" t="s">
        <v>1094</v>
      </c>
      <c r="P428" s="405" t="s">
        <v>1094</v>
      </c>
      <c r="Q428" s="405" t="s">
        <v>1094</v>
      </c>
      <c r="R428" s="405" t="s">
        <v>1094</v>
      </c>
      <c r="S428" s="405" t="s">
        <v>1094</v>
      </c>
      <c r="T428" s="405" t="s">
        <v>1094</v>
      </c>
      <c r="U428" s="405" t="s">
        <v>1094</v>
      </c>
      <c r="V428" s="269"/>
      <c r="W428" s="266"/>
      <c r="X428" s="266"/>
      <c r="Y428" s="267"/>
      <c r="Z428" s="269"/>
      <c r="AA428" s="269"/>
      <c r="AB428" s="269"/>
      <c r="AC428" s="269"/>
      <c r="AD428" s="269"/>
      <c r="AE428" s="269"/>
      <c r="AF428" s="327"/>
      <c r="AG428" s="269"/>
      <c r="AH428" s="269"/>
    </row>
    <row r="429" spans="1:34" s="107" customFormat="1">
      <c r="A429" s="242" t="s">
        <v>853</v>
      </c>
      <c r="B429" s="282" t="s">
        <v>819</v>
      </c>
      <c r="C429" s="121" t="s">
        <v>661</v>
      </c>
      <c r="D429" s="493" t="s">
        <v>1094</v>
      </c>
      <c r="E429" s="493" t="s">
        <v>883</v>
      </c>
      <c r="F429" s="493" t="s">
        <v>883</v>
      </c>
      <c r="G429" s="283" t="s">
        <v>1094</v>
      </c>
      <c r="H429" s="505" t="s">
        <v>1094</v>
      </c>
      <c r="I429" s="493" t="s">
        <v>883</v>
      </c>
      <c r="J429" s="493" t="s">
        <v>883</v>
      </c>
      <c r="K429" s="416">
        <v>5.6249999999999998E-5</v>
      </c>
      <c r="L429" s="493" t="s">
        <v>883</v>
      </c>
      <c r="M429" s="405" t="s">
        <v>1094</v>
      </c>
      <c r="N429" s="405" t="s">
        <v>1094</v>
      </c>
      <c r="O429" s="405" t="s">
        <v>1094</v>
      </c>
      <c r="P429" s="405" t="s">
        <v>1094</v>
      </c>
      <c r="Q429" s="493" t="s">
        <v>883</v>
      </c>
      <c r="R429" s="405" t="s">
        <v>1094</v>
      </c>
      <c r="S429" s="405" t="s">
        <v>1094</v>
      </c>
      <c r="T429" s="493" t="s">
        <v>883</v>
      </c>
      <c r="U429" s="493" t="s">
        <v>883</v>
      </c>
      <c r="V429" s="269"/>
      <c r="W429" s="266"/>
      <c r="X429" s="266"/>
      <c r="Y429" s="267"/>
      <c r="Z429" s="269"/>
      <c r="AA429" s="269"/>
      <c r="AB429" s="269"/>
      <c r="AC429" s="269"/>
      <c r="AD429" s="269"/>
      <c r="AE429" s="269"/>
      <c r="AF429" s="327"/>
      <c r="AG429" s="269"/>
      <c r="AH429" s="269"/>
    </row>
    <row r="430" spans="1:34" s="107" customFormat="1">
      <c r="A430" s="242" t="s">
        <v>853</v>
      </c>
      <c r="B430" s="282" t="s">
        <v>336</v>
      </c>
      <c r="C430" s="106" t="s">
        <v>616</v>
      </c>
      <c r="D430" s="491" t="s">
        <v>1094</v>
      </c>
      <c r="E430" s="493" t="s">
        <v>883</v>
      </c>
      <c r="F430" s="493" t="s">
        <v>883</v>
      </c>
      <c r="G430" s="283" t="s">
        <v>1094</v>
      </c>
      <c r="H430" s="283" t="s">
        <v>1094</v>
      </c>
      <c r="I430" s="493" t="s">
        <v>883</v>
      </c>
      <c r="J430" s="493" t="s">
        <v>883</v>
      </c>
      <c r="K430" s="416">
        <v>1.171875E-3</v>
      </c>
      <c r="L430" s="405" t="s">
        <v>1094</v>
      </c>
      <c r="M430" s="405" t="s">
        <v>1094</v>
      </c>
      <c r="N430" s="405" t="s">
        <v>1094</v>
      </c>
      <c r="O430" s="405" t="s">
        <v>1094</v>
      </c>
      <c r="P430" s="405" t="s">
        <v>1094</v>
      </c>
      <c r="Q430" s="405" t="s">
        <v>1094</v>
      </c>
      <c r="R430" s="405" t="s">
        <v>1094</v>
      </c>
      <c r="S430" s="405" t="s">
        <v>1094</v>
      </c>
      <c r="T430" s="405" t="s">
        <v>1094</v>
      </c>
      <c r="U430" s="405" t="s">
        <v>1094</v>
      </c>
      <c r="V430" s="269"/>
      <c r="W430" s="266"/>
      <c r="X430" s="266"/>
      <c r="Y430" s="267"/>
      <c r="Z430" s="269"/>
      <c r="AA430" s="269"/>
      <c r="AB430" s="269"/>
      <c r="AC430" s="269"/>
      <c r="AD430" s="269"/>
      <c r="AE430" s="269"/>
      <c r="AF430" s="327"/>
      <c r="AG430" s="269"/>
      <c r="AH430" s="269"/>
    </row>
    <row r="431" spans="1:34" s="107" customFormat="1">
      <c r="A431" s="242" t="s">
        <v>853</v>
      </c>
      <c r="B431" s="282" t="s">
        <v>337</v>
      </c>
      <c r="C431" s="121" t="s">
        <v>715</v>
      </c>
      <c r="D431" s="493" t="s">
        <v>883</v>
      </c>
      <c r="E431" s="493" t="s">
        <v>1094</v>
      </c>
      <c r="F431" s="493" t="s">
        <v>1094</v>
      </c>
      <c r="G431" s="283" t="s">
        <v>1094</v>
      </c>
      <c r="H431" s="283" t="s">
        <v>1094</v>
      </c>
      <c r="I431" s="283" t="s">
        <v>1094</v>
      </c>
      <c r="J431" s="493" t="s">
        <v>1094</v>
      </c>
      <c r="K431" s="416">
        <v>3.9772727272727269E-3</v>
      </c>
      <c r="L431" s="405" t="s">
        <v>1094</v>
      </c>
      <c r="M431" s="405" t="s">
        <v>1094</v>
      </c>
      <c r="N431" s="405" t="s">
        <v>1094</v>
      </c>
      <c r="O431" s="405" t="s">
        <v>1094</v>
      </c>
      <c r="P431" s="405" t="s">
        <v>1094</v>
      </c>
      <c r="Q431" s="405" t="s">
        <v>1094</v>
      </c>
      <c r="R431" s="405" t="s">
        <v>1094</v>
      </c>
      <c r="S431" s="405" t="s">
        <v>1094</v>
      </c>
      <c r="T431" s="405" t="s">
        <v>1094</v>
      </c>
      <c r="U431" s="405" t="s">
        <v>1094</v>
      </c>
      <c r="V431" s="269"/>
      <c r="W431" s="266"/>
      <c r="X431" s="266"/>
      <c r="Y431" s="267"/>
      <c r="Z431" s="269"/>
      <c r="AA431" s="269"/>
      <c r="AB431" s="269"/>
      <c r="AC431" s="269"/>
      <c r="AD431" s="269"/>
      <c r="AE431" s="269"/>
      <c r="AF431" s="327"/>
      <c r="AG431" s="269"/>
      <c r="AH431" s="269"/>
    </row>
    <row r="432" spans="1:34" s="107" customFormat="1">
      <c r="A432" s="529" t="s">
        <v>853</v>
      </c>
      <c r="B432" s="530" t="s">
        <v>11235</v>
      </c>
      <c r="C432" s="545" t="s">
        <v>5602</v>
      </c>
      <c r="D432" s="547" t="s">
        <v>883</v>
      </c>
      <c r="E432" s="547" t="s">
        <v>883</v>
      </c>
      <c r="F432" s="546" t="s">
        <v>1094</v>
      </c>
      <c r="G432" s="547" t="s">
        <v>1094</v>
      </c>
      <c r="H432" s="547" t="s">
        <v>1094</v>
      </c>
      <c r="I432" s="548" t="s">
        <v>1094</v>
      </c>
      <c r="J432" s="547" t="s">
        <v>1094</v>
      </c>
      <c r="K432" s="533">
        <v>8.571428571428571E-4</v>
      </c>
      <c r="L432" s="547" t="s">
        <v>883</v>
      </c>
      <c r="M432" s="547" t="s">
        <v>1094</v>
      </c>
      <c r="N432" s="547" t="s">
        <v>1094</v>
      </c>
      <c r="O432" s="547" t="s">
        <v>1094</v>
      </c>
      <c r="P432" s="533" t="s">
        <v>1094</v>
      </c>
      <c r="Q432" s="547" t="s">
        <v>883</v>
      </c>
      <c r="R432" s="547" t="s">
        <v>1094</v>
      </c>
      <c r="S432" s="547" t="s">
        <v>1094</v>
      </c>
      <c r="T432" s="547" t="s">
        <v>1094</v>
      </c>
      <c r="U432" s="547" t="s">
        <v>883</v>
      </c>
      <c r="V432" s="269"/>
      <c r="W432" s="266"/>
      <c r="X432" s="266"/>
      <c r="Y432" s="267"/>
      <c r="Z432" s="269"/>
      <c r="AA432" s="269"/>
      <c r="AB432" s="269"/>
      <c r="AC432" s="269"/>
      <c r="AD432" s="269"/>
      <c r="AE432" s="269"/>
      <c r="AF432" s="327"/>
      <c r="AG432" s="269"/>
      <c r="AH432" s="269"/>
    </row>
    <row r="433" spans="1:34" s="107" customFormat="1">
      <c r="A433" s="242" t="s">
        <v>853</v>
      </c>
      <c r="B433" s="282" t="s">
        <v>338</v>
      </c>
      <c r="C433" s="121" t="s">
        <v>677</v>
      </c>
      <c r="D433" s="493" t="s">
        <v>883</v>
      </c>
      <c r="E433" s="493" t="s">
        <v>1094</v>
      </c>
      <c r="F433" s="493" t="s">
        <v>1094</v>
      </c>
      <c r="G433" s="493" t="s">
        <v>883</v>
      </c>
      <c r="H433" s="493" t="s">
        <v>883</v>
      </c>
      <c r="I433" s="493" t="s">
        <v>883</v>
      </c>
      <c r="J433" s="283" t="s">
        <v>1094</v>
      </c>
      <c r="K433" s="416">
        <v>1.3636363636363636E-2</v>
      </c>
      <c r="L433" s="405" t="s">
        <v>1094</v>
      </c>
      <c r="M433" s="405" t="s">
        <v>1094</v>
      </c>
      <c r="N433" s="405" t="s">
        <v>1094</v>
      </c>
      <c r="O433" s="405" t="s">
        <v>1094</v>
      </c>
      <c r="P433" s="405" t="s">
        <v>1094</v>
      </c>
      <c r="Q433" s="405" t="s">
        <v>1094</v>
      </c>
      <c r="R433" s="405" t="s">
        <v>1094</v>
      </c>
      <c r="S433" s="405" t="s">
        <v>1094</v>
      </c>
      <c r="T433" s="405" t="s">
        <v>1094</v>
      </c>
      <c r="U433" s="405" t="s">
        <v>1094</v>
      </c>
      <c r="V433" s="269"/>
      <c r="W433" s="266"/>
      <c r="X433" s="266"/>
      <c r="Y433" s="267"/>
      <c r="Z433" s="269"/>
      <c r="AA433" s="269"/>
      <c r="AB433" s="269"/>
      <c r="AC433" s="269"/>
      <c r="AD433" s="269"/>
      <c r="AE433" s="269"/>
      <c r="AF433" s="327"/>
      <c r="AG433" s="269"/>
      <c r="AH433" s="269"/>
    </row>
    <row r="434" spans="1:34" s="107" customFormat="1">
      <c r="A434" s="242" t="s">
        <v>853</v>
      </c>
      <c r="B434" s="282" t="s">
        <v>502</v>
      </c>
      <c r="C434" s="121" t="s">
        <v>753</v>
      </c>
      <c r="D434" s="493" t="s">
        <v>883</v>
      </c>
      <c r="E434" s="493" t="s">
        <v>1094</v>
      </c>
      <c r="F434" s="493" t="s">
        <v>883</v>
      </c>
      <c r="G434" s="493" t="s">
        <v>883</v>
      </c>
      <c r="H434" s="283" t="s">
        <v>1094</v>
      </c>
      <c r="I434" s="493" t="s">
        <v>883</v>
      </c>
      <c r="J434" s="283" t="s">
        <v>1094</v>
      </c>
      <c r="K434" s="416">
        <v>3.7499999999999999E-2</v>
      </c>
      <c r="L434" s="405" t="s">
        <v>1094</v>
      </c>
      <c r="M434" s="405" t="s">
        <v>1094</v>
      </c>
      <c r="N434" s="405" t="s">
        <v>1094</v>
      </c>
      <c r="O434" s="405" t="s">
        <v>1094</v>
      </c>
      <c r="P434" s="405" t="s">
        <v>1094</v>
      </c>
      <c r="Q434" s="405" t="s">
        <v>1094</v>
      </c>
      <c r="R434" s="405" t="s">
        <v>1094</v>
      </c>
      <c r="S434" s="405" t="s">
        <v>1094</v>
      </c>
      <c r="T434" s="405" t="s">
        <v>1094</v>
      </c>
      <c r="U434" s="405" t="s">
        <v>1094</v>
      </c>
      <c r="V434" s="269"/>
      <c r="W434" s="266"/>
      <c r="X434" s="266"/>
      <c r="Y434" s="267"/>
      <c r="Z434" s="269"/>
      <c r="AA434" s="269"/>
      <c r="AB434" s="269"/>
      <c r="AC434" s="269"/>
      <c r="AD434" s="269"/>
      <c r="AE434" s="269"/>
      <c r="AF434" s="327"/>
      <c r="AG434" s="269"/>
      <c r="AH434" s="269"/>
    </row>
    <row r="435" spans="1:34" s="107" customFormat="1">
      <c r="A435" s="242" t="s">
        <v>853</v>
      </c>
      <c r="B435" s="282" t="s">
        <v>339</v>
      </c>
      <c r="C435" s="121" t="s">
        <v>709</v>
      </c>
      <c r="D435" s="493" t="s">
        <v>883</v>
      </c>
      <c r="E435" s="493" t="s">
        <v>1094</v>
      </c>
      <c r="F435" s="493" t="s">
        <v>883</v>
      </c>
      <c r="G435" s="283" t="s">
        <v>1094</v>
      </c>
      <c r="H435" s="493" t="s">
        <v>1094</v>
      </c>
      <c r="I435" s="493" t="s">
        <v>883</v>
      </c>
      <c r="J435" s="493" t="s">
        <v>883</v>
      </c>
      <c r="K435" s="416">
        <v>1.3392857142857143E-3</v>
      </c>
      <c r="L435" s="493" t="s">
        <v>883</v>
      </c>
      <c r="M435" s="405" t="s">
        <v>1094</v>
      </c>
      <c r="N435" s="405" t="s">
        <v>1094</v>
      </c>
      <c r="O435" s="405" t="s">
        <v>1094</v>
      </c>
      <c r="P435" s="405" t="s">
        <v>1094</v>
      </c>
      <c r="Q435" s="493" t="s">
        <v>883</v>
      </c>
      <c r="R435" s="405" t="s">
        <v>1094</v>
      </c>
      <c r="S435" s="405" t="s">
        <v>1094</v>
      </c>
      <c r="T435" s="493" t="s">
        <v>883</v>
      </c>
      <c r="U435" s="493" t="s">
        <v>883</v>
      </c>
      <c r="V435" s="269"/>
      <c r="W435" s="266"/>
      <c r="X435" s="266"/>
      <c r="Y435" s="267"/>
      <c r="Z435" s="269"/>
      <c r="AA435" s="269"/>
      <c r="AB435" s="269"/>
      <c r="AC435" s="269"/>
      <c r="AD435" s="269"/>
      <c r="AE435" s="269"/>
      <c r="AF435" s="327"/>
      <c r="AG435" s="269"/>
      <c r="AH435" s="269"/>
    </row>
    <row r="436" spans="1:34" s="107" customFormat="1">
      <c r="A436" s="242" t="s">
        <v>853</v>
      </c>
      <c r="B436" s="282" t="s">
        <v>340</v>
      </c>
      <c r="C436" s="121" t="s">
        <v>757</v>
      </c>
      <c r="D436" s="493" t="s">
        <v>1094</v>
      </c>
      <c r="E436" s="493" t="s">
        <v>1094</v>
      </c>
      <c r="F436" s="493" t="s">
        <v>883</v>
      </c>
      <c r="G436" s="283" t="s">
        <v>1094</v>
      </c>
      <c r="H436" s="283" t="s">
        <v>1094</v>
      </c>
      <c r="I436" s="493" t="s">
        <v>883</v>
      </c>
      <c r="J436" s="493" t="s">
        <v>883</v>
      </c>
      <c r="K436" s="416">
        <v>1.25E-4</v>
      </c>
      <c r="L436" s="405" t="s">
        <v>1094</v>
      </c>
      <c r="M436" s="405" t="s">
        <v>1094</v>
      </c>
      <c r="N436" s="405" t="s">
        <v>1094</v>
      </c>
      <c r="O436" s="405" t="s">
        <v>1094</v>
      </c>
      <c r="P436" s="405" t="s">
        <v>1094</v>
      </c>
      <c r="Q436" s="405" t="s">
        <v>1094</v>
      </c>
      <c r="R436" s="405" t="s">
        <v>1094</v>
      </c>
      <c r="S436" s="405" t="s">
        <v>1094</v>
      </c>
      <c r="T436" s="405" t="s">
        <v>1094</v>
      </c>
      <c r="U436" s="405" t="s">
        <v>1094</v>
      </c>
      <c r="V436" s="269"/>
      <c r="W436" s="266"/>
      <c r="X436" s="266"/>
      <c r="Y436" s="267"/>
      <c r="Z436" s="269"/>
      <c r="AA436" s="269"/>
      <c r="AB436" s="269"/>
      <c r="AC436" s="269"/>
      <c r="AD436" s="269"/>
      <c r="AE436" s="269"/>
      <c r="AF436" s="327"/>
      <c r="AG436" s="269"/>
      <c r="AH436" s="269"/>
    </row>
    <row r="437" spans="1:34" s="107" customFormat="1">
      <c r="A437" s="242" t="s">
        <v>853</v>
      </c>
      <c r="B437" s="282" t="s">
        <v>341</v>
      </c>
      <c r="C437" s="106" t="s">
        <v>614</v>
      </c>
      <c r="D437" s="493" t="s">
        <v>1094</v>
      </c>
      <c r="E437" s="491" t="s">
        <v>883</v>
      </c>
      <c r="F437" s="493" t="s">
        <v>883</v>
      </c>
      <c r="G437" s="414" t="s">
        <v>1094</v>
      </c>
      <c r="H437" s="414" t="s">
        <v>1094</v>
      </c>
      <c r="I437" s="493" t="s">
        <v>883</v>
      </c>
      <c r="J437" s="493" t="s">
        <v>883</v>
      </c>
      <c r="K437" s="416">
        <v>4.5000000000000003E-5</v>
      </c>
      <c r="L437" s="405" t="s">
        <v>1094</v>
      </c>
      <c r="M437" s="405" t="s">
        <v>1094</v>
      </c>
      <c r="N437" s="405" t="s">
        <v>1094</v>
      </c>
      <c r="O437" s="405" t="s">
        <v>1094</v>
      </c>
      <c r="P437" s="405" t="s">
        <v>1094</v>
      </c>
      <c r="Q437" s="405" t="s">
        <v>1094</v>
      </c>
      <c r="R437" s="405" t="s">
        <v>1094</v>
      </c>
      <c r="S437" s="405" t="s">
        <v>1094</v>
      </c>
      <c r="T437" s="405" t="s">
        <v>1094</v>
      </c>
      <c r="U437" s="405" t="s">
        <v>1094</v>
      </c>
      <c r="V437" s="269"/>
      <c r="W437" s="266"/>
      <c r="X437" s="266"/>
      <c r="Y437" s="267"/>
      <c r="Z437" s="269"/>
      <c r="AA437" s="269"/>
      <c r="AB437" s="269"/>
      <c r="AC437" s="269"/>
      <c r="AD437" s="269"/>
      <c r="AE437" s="269"/>
      <c r="AF437" s="327"/>
      <c r="AG437" s="269"/>
      <c r="AH437" s="269"/>
    </row>
    <row r="438" spans="1:34" s="107" customFormat="1">
      <c r="A438" s="242" t="s">
        <v>853</v>
      </c>
      <c r="B438" s="282" t="s">
        <v>817</v>
      </c>
      <c r="C438" s="121" t="s">
        <v>642</v>
      </c>
      <c r="D438" s="493" t="s">
        <v>883</v>
      </c>
      <c r="E438" s="493" t="s">
        <v>1094</v>
      </c>
      <c r="F438" s="493" t="s">
        <v>883</v>
      </c>
      <c r="G438" s="283" t="s">
        <v>1094</v>
      </c>
      <c r="H438" s="283" t="s">
        <v>1094</v>
      </c>
      <c r="I438" s="493" t="s">
        <v>883</v>
      </c>
      <c r="J438" s="493" t="s">
        <v>883</v>
      </c>
      <c r="K438" s="416">
        <v>2.9999999999999997E-4</v>
      </c>
      <c r="L438" s="493" t="s">
        <v>883</v>
      </c>
      <c r="M438" s="405" t="s">
        <v>1094</v>
      </c>
      <c r="N438" s="493" t="s">
        <v>883</v>
      </c>
      <c r="O438" s="405" t="s">
        <v>1094</v>
      </c>
      <c r="P438" s="405" t="s">
        <v>1094</v>
      </c>
      <c r="Q438" s="493" t="s">
        <v>883</v>
      </c>
      <c r="R438" s="493" t="s">
        <v>883</v>
      </c>
      <c r="S438" s="493" t="s">
        <v>883</v>
      </c>
      <c r="T438" s="493" t="s">
        <v>883</v>
      </c>
      <c r="U438" s="493" t="s">
        <v>883</v>
      </c>
      <c r="V438" s="269"/>
      <c r="W438" s="266"/>
      <c r="X438" s="266"/>
      <c r="Y438" s="267"/>
      <c r="Z438" s="269"/>
      <c r="AA438" s="269"/>
      <c r="AB438" s="269"/>
      <c r="AC438" s="269"/>
      <c r="AD438" s="269"/>
      <c r="AE438" s="269"/>
      <c r="AF438" s="327"/>
      <c r="AG438" s="269"/>
      <c r="AH438" s="269"/>
    </row>
    <row r="439" spans="1:34" s="107" customFormat="1">
      <c r="A439" s="242" t="s">
        <v>853</v>
      </c>
      <c r="B439" s="282" t="s">
        <v>342</v>
      </c>
      <c r="C439" s="121" t="s">
        <v>524</v>
      </c>
      <c r="D439" s="493" t="s">
        <v>883</v>
      </c>
      <c r="E439" s="493" t="s">
        <v>883</v>
      </c>
      <c r="F439" s="493" t="s">
        <v>1094</v>
      </c>
      <c r="G439" s="283" t="s">
        <v>1094</v>
      </c>
      <c r="H439" s="283" t="s">
        <v>1094</v>
      </c>
      <c r="I439" s="283" t="s">
        <v>1094</v>
      </c>
      <c r="J439" s="493" t="s">
        <v>883</v>
      </c>
      <c r="K439" s="416">
        <v>4.1977611940298507E-4</v>
      </c>
      <c r="L439" s="405" t="s">
        <v>1094</v>
      </c>
      <c r="M439" s="405" t="s">
        <v>1094</v>
      </c>
      <c r="N439" s="405" t="s">
        <v>1094</v>
      </c>
      <c r="O439" s="405" t="s">
        <v>1094</v>
      </c>
      <c r="P439" s="405" t="s">
        <v>1094</v>
      </c>
      <c r="Q439" s="405" t="s">
        <v>1094</v>
      </c>
      <c r="R439" s="405" t="s">
        <v>1094</v>
      </c>
      <c r="S439" s="405" t="s">
        <v>1094</v>
      </c>
      <c r="T439" s="405" t="s">
        <v>1094</v>
      </c>
      <c r="U439" s="405" t="s">
        <v>1094</v>
      </c>
      <c r="V439" s="269"/>
      <c r="W439" s="266"/>
      <c r="X439" s="266"/>
      <c r="Y439" s="267"/>
      <c r="Z439" s="269"/>
      <c r="AA439" s="269"/>
      <c r="AB439" s="269"/>
      <c r="AC439" s="269"/>
      <c r="AD439" s="269"/>
      <c r="AE439" s="269"/>
      <c r="AF439" s="327"/>
      <c r="AG439" s="269"/>
      <c r="AH439" s="269"/>
    </row>
    <row r="440" spans="1:34" s="107" customFormat="1">
      <c r="A440" s="242" t="s">
        <v>853</v>
      </c>
      <c r="B440" s="282" t="s">
        <v>343</v>
      </c>
      <c r="C440" s="121" t="s">
        <v>649</v>
      </c>
      <c r="D440" s="493" t="s">
        <v>1094</v>
      </c>
      <c r="E440" s="493" t="s">
        <v>1094</v>
      </c>
      <c r="F440" s="493" t="s">
        <v>883</v>
      </c>
      <c r="G440" s="283" t="s">
        <v>1094</v>
      </c>
      <c r="H440" s="283" t="s">
        <v>1094</v>
      </c>
      <c r="I440" s="493" t="s">
        <v>883</v>
      </c>
      <c r="J440" s="493" t="s">
        <v>883</v>
      </c>
      <c r="K440" s="416">
        <v>5.859375E-3</v>
      </c>
      <c r="L440" s="405" t="s">
        <v>1094</v>
      </c>
      <c r="M440" s="405" t="s">
        <v>1094</v>
      </c>
      <c r="N440" s="405" t="s">
        <v>1094</v>
      </c>
      <c r="O440" s="405" t="s">
        <v>1094</v>
      </c>
      <c r="P440" s="405" t="s">
        <v>1094</v>
      </c>
      <c r="Q440" s="405" t="s">
        <v>1094</v>
      </c>
      <c r="R440" s="405" t="s">
        <v>1094</v>
      </c>
      <c r="S440" s="405" t="s">
        <v>1094</v>
      </c>
      <c r="T440" s="405" t="s">
        <v>1094</v>
      </c>
      <c r="U440" s="405" t="s">
        <v>1094</v>
      </c>
      <c r="V440" s="269"/>
      <c r="W440" s="266"/>
      <c r="X440" s="266"/>
      <c r="Y440" s="267"/>
      <c r="Z440" s="269"/>
      <c r="AA440" s="269"/>
      <c r="AB440" s="269"/>
      <c r="AC440" s="269"/>
      <c r="AD440" s="269"/>
      <c r="AE440" s="269"/>
      <c r="AF440" s="327"/>
      <c r="AG440" s="269"/>
      <c r="AH440" s="269"/>
    </row>
    <row r="441" spans="1:34" s="107" customFormat="1">
      <c r="A441" s="242" t="s">
        <v>853</v>
      </c>
      <c r="B441" s="282" t="s">
        <v>344</v>
      </c>
      <c r="C441" s="108" t="s">
        <v>231</v>
      </c>
      <c r="D441" s="493" t="s">
        <v>883</v>
      </c>
      <c r="E441" s="499" t="s">
        <v>1094</v>
      </c>
      <c r="F441" s="498" t="s">
        <v>883</v>
      </c>
      <c r="G441" s="283" t="s">
        <v>1094</v>
      </c>
      <c r="H441" s="283" t="s">
        <v>1094</v>
      </c>
      <c r="I441" s="313" t="s">
        <v>883</v>
      </c>
      <c r="J441" s="313" t="s">
        <v>883</v>
      </c>
      <c r="K441" s="416">
        <v>7.2115384615384622E-5</v>
      </c>
      <c r="L441" s="493" t="s">
        <v>883</v>
      </c>
      <c r="M441" s="405" t="s">
        <v>1094</v>
      </c>
      <c r="N441" s="405" t="s">
        <v>1094</v>
      </c>
      <c r="O441" s="493" t="s">
        <v>883</v>
      </c>
      <c r="P441" s="405" t="s">
        <v>1094</v>
      </c>
      <c r="Q441" s="493" t="s">
        <v>883</v>
      </c>
      <c r="R441" s="405" t="s">
        <v>1094</v>
      </c>
      <c r="S441" s="405" t="s">
        <v>1094</v>
      </c>
      <c r="T441" s="405" t="s">
        <v>1094</v>
      </c>
      <c r="U441" s="493" t="s">
        <v>883</v>
      </c>
      <c r="V441" s="269"/>
      <c r="W441" s="266"/>
      <c r="X441" s="266"/>
      <c r="Y441" s="267"/>
      <c r="Z441" s="269"/>
      <c r="AA441" s="269"/>
      <c r="AB441" s="269"/>
      <c r="AC441" s="269"/>
      <c r="AD441" s="269"/>
      <c r="AE441" s="269"/>
      <c r="AF441" s="327"/>
      <c r="AG441" s="269"/>
      <c r="AH441" s="269"/>
    </row>
    <row r="442" spans="1:34" s="107" customFormat="1">
      <c r="A442" s="242" t="s">
        <v>853</v>
      </c>
      <c r="B442" s="282" t="s">
        <v>345</v>
      </c>
      <c r="C442" s="121" t="s">
        <v>736</v>
      </c>
      <c r="D442" s="493" t="s">
        <v>883</v>
      </c>
      <c r="E442" s="493" t="s">
        <v>883</v>
      </c>
      <c r="F442" s="493" t="s">
        <v>1094</v>
      </c>
      <c r="G442" s="283" t="s">
        <v>1094</v>
      </c>
      <c r="H442" s="283" t="s">
        <v>1094</v>
      </c>
      <c r="I442" s="283" t="s">
        <v>1094</v>
      </c>
      <c r="J442" s="493" t="s">
        <v>883</v>
      </c>
      <c r="K442" s="416">
        <v>3.4594095940959407E-4</v>
      </c>
      <c r="L442" s="493" t="s">
        <v>883</v>
      </c>
      <c r="M442" s="405" t="s">
        <v>1094</v>
      </c>
      <c r="N442" s="405" t="s">
        <v>1094</v>
      </c>
      <c r="O442" s="405" t="s">
        <v>1094</v>
      </c>
      <c r="P442" s="405" t="s">
        <v>1094</v>
      </c>
      <c r="Q442" s="493" t="s">
        <v>883</v>
      </c>
      <c r="R442" s="405" t="s">
        <v>1094</v>
      </c>
      <c r="S442" s="405" t="s">
        <v>1094</v>
      </c>
      <c r="T442" s="405" t="s">
        <v>1094</v>
      </c>
      <c r="U442" s="493" t="s">
        <v>883</v>
      </c>
      <c r="V442" s="269"/>
      <c r="W442" s="266"/>
      <c r="X442" s="266"/>
      <c r="Y442" s="267"/>
      <c r="Z442" s="269"/>
      <c r="AA442" s="269"/>
      <c r="AB442" s="269"/>
      <c r="AC442" s="269"/>
      <c r="AD442" s="269"/>
      <c r="AE442" s="269"/>
      <c r="AF442" s="327"/>
      <c r="AG442" s="269"/>
      <c r="AH442" s="269"/>
    </row>
    <row r="443" spans="1:34" s="107" customFormat="1">
      <c r="A443" s="242" t="s">
        <v>853</v>
      </c>
      <c r="B443" s="297" t="s">
        <v>1244</v>
      </c>
      <c r="C443" s="214" t="s">
        <v>245</v>
      </c>
      <c r="D443" s="493" t="s">
        <v>883</v>
      </c>
      <c r="E443" s="497" t="s">
        <v>1094</v>
      </c>
      <c r="F443" s="493" t="s">
        <v>883</v>
      </c>
      <c r="G443" s="493" t="s">
        <v>883</v>
      </c>
      <c r="H443" s="283" t="s">
        <v>1094</v>
      </c>
      <c r="I443" s="493" t="s">
        <v>883</v>
      </c>
      <c r="J443" s="283" t="s">
        <v>1094</v>
      </c>
      <c r="K443" s="416">
        <v>2.34375E-2</v>
      </c>
      <c r="L443" s="493" t="s">
        <v>883</v>
      </c>
      <c r="M443" s="493" t="s">
        <v>883</v>
      </c>
      <c r="N443" s="493" t="s">
        <v>883</v>
      </c>
      <c r="O443" s="493" t="s">
        <v>883</v>
      </c>
      <c r="P443" s="493" t="s">
        <v>883</v>
      </c>
      <c r="Q443" s="493" t="s">
        <v>883</v>
      </c>
      <c r="R443" s="493" t="s">
        <v>883</v>
      </c>
      <c r="S443" s="405" t="s">
        <v>1094</v>
      </c>
      <c r="T443" s="493" t="s">
        <v>883</v>
      </c>
      <c r="U443" s="493" t="s">
        <v>883</v>
      </c>
      <c r="V443" s="269"/>
      <c r="W443" s="266"/>
      <c r="X443" s="266"/>
      <c r="Y443" s="267"/>
      <c r="Z443" s="269"/>
      <c r="AA443" s="269"/>
      <c r="AB443" s="269"/>
      <c r="AC443" s="269"/>
      <c r="AD443" s="269"/>
      <c r="AE443" s="269"/>
      <c r="AF443" s="327"/>
      <c r="AG443" s="269"/>
      <c r="AH443" s="269"/>
    </row>
    <row r="444" spans="1:34" s="107" customFormat="1">
      <c r="A444" s="242" t="s">
        <v>853</v>
      </c>
      <c r="B444" s="282" t="s">
        <v>346</v>
      </c>
      <c r="C444" s="121" t="s">
        <v>1075</v>
      </c>
      <c r="D444" s="493" t="s">
        <v>883</v>
      </c>
      <c r="E444" s="493" t="s">
        <v>1094</v>
      </c>
      <c r="F444" s="493" t="s">
        <v>1094</v>
      </c>
      <c r="G444" s="283" t="s">
        <v>1094</v>
      </c>
      <c r="H444" s="493" t="s">
        <v>1094</v>
      </c>
      <c r="I444" s="283" t="s">
        <v>1094</v>
      </c>
      <c r="J444" s="493" t="s">
        <v>883</v>
      </c>
      <c r="K444" s="416">
        <v>7.9062499999999999E-4</v>
      </c>
      <c r="L444" s="493" t="s">
        <v>883</v>
      </c>
      <c r="M444" s="405" t="s">
        <v>1094</v>
      </c>
      <c r="N444" s="493" t="s">
        <v>883</v>
      </c>
      <c r="O444" s="405" t="s">
        <v>1094</v>
      </c>
      <c r="P444" s="405" t="s">
        <v>1094</v>
      </c>
      <c r="Q444" s="405" t="s">
        <v>1094</v>
      </c>
      <c r="R444" s="493" t="s">
        <v>883</v>
      </c>
      <c r="S444" s="493" t="s">
        <v>883</v>
      </c>
      <c r="T444" s="493" t="s">
        <v>883</v>
      </c>
      <c r="U444" s="493" t="s">
        <v>883</v>
      </c>
      <c r="V444" s="269"/>
      <c r="W444" s="266"/>
      <c r="X444" s="266"/>
      <c r="Y444" s="267"/>
      <c r="Z444" s="269"/>
      <c r="AA444" s="269"/>
      <c r="AB444" s="269"/>
      <c r="AC444" s="269"/>
      <c r="AD444" s="269"/>
      <c r="AE444" s="269"/>
      <c r="AF444" s="327"/>
      <c r="AG444" s="269"/>
      <c r="AH444" s="269"/>
    </row>
    <row r="445" spans="1:34">
      <c r="A445" s="242" t="s">
        <v>853</v>
      </c>
      <c r="B445" s="282" t="s">
        <v>1076</v>
      </c>
      <c r="C445" s="121" t="s">
        <v>693</v>
      </c>
      <c r="D445" s="493" t="s">
        <v>883</v>
      </c>
      <c r="E445" s="493" t="s">
        <v>883</v>
      </c>
      <c r="F445" s="493" t="s">
        <v>1094</v>
      </c>
      <c r="G445" s="283" t="s">
        <v>1094</v>
      </c>
      <c r="H445" s="283" t="s">
        <v>1094</v>
      </c>
      <c r="I445" s="283" t="s">
        <v>1094</v>
      </c>
      <c r="J445" s="283" t="s">
        <v>1094</v>
      </c>
      <c r="K445" s="416">
        <v>2.5641025641025641E-3</v>
      </c>
      <c r="L445" s="405" t="s">
        <v>1094</v>
      </c>
      <c r="M445" s="405" t="s">
        <v>1094</v>
      </c>
      <c r="N445" s="405" t="s">
        <v>1094</v>
      </c>
      <c r="O445" s="405" t="s">
        <v>1094</v>
      </c>
      <c r="P445" s="405" t="s">
        <v>1094</v>
      </c>
      <c r="Q445" s="405" t="s">
        <v>1094</v>
      </c>
      <c r="R445" s="405" t="s">
        <v>1094</v>
      </c>
      <c r="S445" s="405" t="s">
        <v>1094</v>
      </c>
      <c r="T445" s="405" t="s">
        <v>1094</v>
      </c>
      <c r="U445" s="405" t="s">
        <v>1094</v>
      </c>
    </row>
    <row r="446" spans="1:34">
      <c r="A446" s="242" t="s">
        <v>853</v>
      </c>
      <c r="B446" s="281" t="s">
        <v>1304</v>
      </c>
      <c r="C446" s="121" t="s">
        <v>1293</v>
      </c>
      <c r="D446" s="493" t="s">
        <v>883</v>
      </c>
      <c r="E446" s="493" t="s">
        <v>883</v>
      </c>
      <c r="F446" s="493" t="s">
        <v>1094</v>
      </c>
      <c r="G446" s="283" t="s">
        <v>1094</v>
      </c>
      <c r="H446" s="283" t="s">
        <v>1094</v>
      </c>
      <c r="I446" s="283" t="s">
        <v>1094</v>
      </c>
      <c r="J446" s="493" t="s">
        <v>883</v>
      </c>
      <c r="K446" s="416">
        <v>1.9736842105263158E-5</v>
      </c>
      <c r="L446" s="405" t="s">
        <v>1094</v>
      </c>
      <c r="M446" s="405" t="s">
        <v>1094</v>
      </c>
      <c r="N446" s="405" t="s">
        <v>1094</v>
      </c>
      <c r="O446" s="405" t="s">
        <v>1094</v>
      </c>
      <c r="P446" s="405" t="s">
        <v>1094</v>
      </c>
      <c r="Q446" s="405" t="s">
        <v>1094</v>
      </c>
      <c r="R446" s="405" t="s">
        <v>1094</v>
      </c>
      <c r="S446" s="405" t="s">
        <v>1094</v>
      </c>
      <c r="T446" s="405" t="s">
        <v>1094</v>
      </c>
      <c r="U446" s="405" t="s">
        <v>1094</v>
      </c>
    </row>
    <row r="447" spans="1:34">
      <c r="A447" s="242" t="s">
        <v>853</v>
      </c>
      <c r="B447" s="282" t="s">
        <v>347</v>
      </c>
      <c r="C447" s="121" t="s">
        <v>703</v>
      </c>
      <c r="D447" s="493" t="s">
        <v>883</v>
      </c>
      <c r="E447" s="493" t="s">
        <v>883</v>
      </c>
      <c r="F447" s="493" t="s">
        <v>1094</v>
      </c>
      <c r="G447" s="283" t="s">
        <v>883</v>
      </c>
      <c r="H447" s="283" t="s">
        <v>1094</v>
      </c>
      <c r="I447" s="493" t="s">
        <v>883</v>
      </c>
      <c r="J447" s="493" t="s">
        <v>1094</v>
      </c>
      <c r="K447" s="416">
        <v>7.0754716981132071E-4</v>
      </c>
      <c r="L447" s="493" t="s">
        <v>883</v>
      </c>
      <c r="M447" s="405" t="s">
        <v>1094</v>
      </c>
      <c r="N447" s="493" t="s">
        <v>883</v>
      </c>
      <c r="O447" s="405" t="s">
        <v>1094</v>
      </c>
      <c r="P447" s="405" t="s">
        <v>1094</v>
      </c>
      <c r="Q447" s="493" t="s">
        <v>883</v>
      </c>
      <c r="R447" s="493" t="s">
        <v>883</v>
      </c>
      <c r="S447" s="493" t="s">
        <v>883</v>
      </c>
      <c r="T447" s="493" t="s">
        <v>883</v>
      </c>
      <c r="U447" s="493" t="s">
        <v>883</v>
      </c>
    </row>
    <row r="448" spans="1:34">
      <c r="A448" s="242" t="s">
        <v>853</v>
      </c>
      <c r="B448" s="297" t="s">
        <v>1245</v>
      </c>
      <c r="C448" s="121" t="s">
        <v>761</v>
      </c>
      <c r="D448" s="493" t="s">
        <v>1094</v>
      </c>
      <c r="E448" s="493" t="s">
        <v>1094</v>
      </c>
      <c r="F448" s="493" t="s">
        <v>883</v>
      </c>
      <c r="G448" s="283" t="s">
        <v>1094</v>
      </c>
      <c r="H448" s="283" t="s">
        <v>1094</v>
      </c>
      <c r="I448" s="493" t="s">
        <v>883</v>
      </c>
      <c r="J448" s="493" t="s">
        <v>883</v>
      </c>
      <c r="K448" s="416">
        <v>1.125E-2</v>
      </c>
      <c r="L448" s="493" t="s">
        <v>883</v>
      </c>
      <c r="M448" s="405" t="s">
        <v>1094</v>
      </c>
      <c r="N448" s="405" t="s">
        <v>1094</v>
      </c>
      <c r="O448" s="493" t="s">
        <v>883</v>
      </c>
      <c r="P448" s="405" t="s">
        <v>1094</v>
      </c>
      <c r="Q448" s="493" t="s">
        <v>883</v>
      </c>
      <c r="R448" s="493" t="s">
        <v>883</v>
      </c>
      <c r="S448" s="405" t="s">
        <v>1094</v>
      </c>
      <c r="T448" s="493" t="s">
        <v>883</v>
      </c>
      <c r="U448" s="493" t="s">
        <v>883</v>
      </c>
    </row>
    <row r="449" spans="1:21">
      <c r="A449" s="242" t="s">
        <v>853</v>
      </c>
      <c r="B449" s="282" t="s">
        <v>529</v>
      </c>
      <c r="C449" s="121" t="s">
        <v>781</v>
      </c>
      <c r="D449" s="493" t="s">
        <v>883</v>
      </c>
      <c r="E449" s="493" t="s">
        <v>1094</v>
      </c>
      <c r="F449" s="498" t="s">
        <v>883</v>
      </c>
      <c r="G449" s="283" t="s">
        <v>1094</v>
      </c>
      <c r="H449" s="283" t="s">
        <v>1094</v>
      </c>
      <c r="I449" s="283" t="s">
        <v>883</v>
      </c>
      <c r="J449" s="493" t="s">
        <v>1094</v>
      </c>
      <c r="K449" s="416">
        <v>6.8181818181818187E-4</v>
      </c>
      <c r="L449" s="405" t="s">
        <v>1094</v>
      </c>
      <c r="M449" s="405" t="s">
        <v>1094</v>
      </c>
      <c r="N449" s="405" t="s">
        <v>1094</v>
      </c>
      <c r="O449" s="405" t="s">
        <v>1094</v>
      </c>
      <c r="P449" s="405" t="s">
        <v>1094</v>
      </c>
      <c r="Q449" s="405" t="s">
        <v>1094</v>
      </c>
      <c r="R449" s="405" t="s">
        <v>1094</v>
      </c>
      <c r="S449" s="405" t="s">
        <v>1094</v>
      </c>
      <c r="T449" s="405" t="s">
        <v>1094</v>
      </c>
      <c r="U449" s="405" t="s">
        <v>1094</v>
      </c>
    </row>
    <row r="450" spans="1:21">
      <c r="A450" s="529" t="s">
        <v>853</v>
      </c>
      <c r="B450" s="530" t="s">
        <v>11167</v>
      </c>
      <c r="C450" s="552" t="s">
        <v>11168</v>
      </c>
      <c r="D450" s="553" t="s">
        <v>1094</v>
      </c>
      <c r="E450" s="547" t="s">
        <v>1094</v>
      </c>
      <c r="F450" s="547" t="s">
        <v>883</v>
      </c>
      <c r="G450" s="547" t="s">
        <v>1094</v>
      </c>
      <c r="H450" s="548" t="s">
        <v>1094</v>
      </c>
      <c r="I450" s="547" t="s">
        <v>883</v>
      </c>
      <c r="J450" s="547" t="s">
        <v>1094</v>
      </c>
      <c r="K450" s="533">
        <v>1.8219178082191782E-3</v>
      </c>
      <c r="L450" s="547" t="s">
        <v>883</v>
      </c>
      <c r="M450" s="533" t="s">
        <v>883</v>
      </c>
      <c r="N450" s="533" t="s">
        <v>883</v>
      </c>
      <c r="O450" s="547" t="s">
        <v>1094</v>
      </c>
      <c r="P450" s="547" t="s">
        <v>1094</v>
      </c>
      <c r="Q450" s="547" t="s">
        <v>883</v>
      </c>
      <c r="R450" s="547" t="s">
        <v>883</v>
      </c>
      <c r="S450" s="533" t="s">
        <v>883</v>
      </c>
      <c r="T450" s="547" t="s">
        <v>883</v>
      </c>
      <c r="U450" s="547" t="s">
        <v>883</v>
      </c>
    </row>
    <row r="451" spans="1:21">
      <c r="A451" s="242" t="s">
        <v>853</v>
      </c>
      <c r="B451" s="282" t="s">
        <v>348</v>
      </c>
      <c r="C451" s="121" t="s">
        <v>671</v>
      </c>
      <c r="D451" s="493" t="s">
        <v>883</v>
      </c>
      <c r="E451" s="493" t="s">
        <v>1094</v>
      </c>
      <c r="F451" s="493" t="s">
        <v>883</v>
      </c>
      <c r="G451" s="493" t="s">
        <v>883</v>
      </c>
      <c r="H451" s="493" t="s">
        <v>883</v>
      </c>
      <c r="I451" s="493" t="s">
        <v>883</v>
      </c>
      <c r="J451" s="283" t="s">
        <v>1094</v>
      </c>
      <c r="K451" s="416">
        <v>3.8461538461538464E-2</v>
      </c>
      <c r="L451" s="493" t="s">
        <v>883</v>
      </c>
      <c r="M451" s="405" t="s">
        <v>1094</v>
      </c>
      <c r="N451" s="405" t="s">
        <v>1094</v>
      </c>
      <c r="O451" s="493" t="s">
        <v>883</v>
      </c>
      <c r="P451" s="405" t="s">
        <v>1094</v>
      </c>
      <c r="Q451" s="493" t="s">
        <v>883</v>
      </c>
      <c r="R451" s="493" t="s">
        <v>883</v>
      </c>
      <c r="S451" s="493" t="s">
        <v>883</v>
      </c>
      <c r="T451" s="493" t="s">
        <v>883</v>
      </c>
      <c r="U451" s="493" t="s">
        <v>883</v>
      </c>
    </row>
    <row r="452" spans="1:21">
      <c r="A452" s="242" t="s">
        <v>853</v>
      </c>
      <c r="B452" s="282" t="s">
        <v>349</v>
      </c>
      <c r="C452" s="121" t="s">
        <v>708</v>
      </c>
      <c r="D452" s="493" t="s">
        <v>883</v>
      </c>
      <c r="E452" s="493" t="s">
        <v>883</v>
      </c>
      <c r="F452" s="493" t="s">
        <v>1094</v>
      </c>
      <c r="G452" s="283" t="s">
        <v>1094</v>
      </c>
      <c r="H452" s="493" t="s">
        <v>883</v>
      </c>
      <c r="I452" s="283" t="s">
        <v>1094</v>
      </c>
      <c r="J452" s="493" t="s">
        <v>883</v>
      </c>
      <c r="K452" s="416">
        <v>0.02</v>
      </c>
      <c r="L452" s="493" t="s">
        <v>883</v>
      </c>
      <c r="M452" s="405" t="s">
        <v>1094</v>
      </c>
      <c r="N452" s="493" t="s">
        <v>883</v>
      </c>
      <c r="O452" s="405" t="s">
        <v>1094</v>
      </c>
      <c r="P452" s="405" t="s">
        <v>1094</v>
      </c>
      <c r="Q452" s="493" t="s">
        <v>883</v>
      </c>
      <c r="R452" s="493" t="s">
        <v>883</v>
      </c>
      <c r="S452" s="493" t="s">
        <v>883</v>
      </c>
      <c r="T452" s="493" t="s">
        <v>883</v>
      </c>
      <c r="U452" s="493" t="s">
        <v>883</v>
      </c>
    </row>
    <row r="453" spans="1:21">
      <c r="A453" s="242" t="s">
        <v>853</v>
      </c>
      <c r="B453" s="297" t="s">
        <v>1246</v>
      </c>
      <c r="C453" s="121" t="s">
        <v>756</v>
      </c>
      <c r="D453" s="493" t="s">
        <v>883</v>
      </c>
      <c r="E453" s="493" t="s">
        <v>1094</v>
      </c>
      <c r="F453" s="493" t="s">
        <v>1094</v>
      </c>
      <c r="G453" s="283" t="s">
        <v>1094</v>
      </c>
      <c r="H453" s="283" t="s">
        <v>1094</v>
      </c>
      <c r="I453" s="283" t="s">
        <v>1094</v>
      </c>
      <c r="J453" s="493" t="s">
        <v>883</v>
      </c>
      <c r="K453" s="416">
        <v>2.6785714285714287E-4</v>
      </c>
      <c r="L453" s="493" t="s">
        <v>883</v>
      </c>
      <c r="M453" s="405" t="s">
        <v>1094</v>
      </c>
      <c r="N453" s="405" t="s">
        <v>1094</v>
      </c>
      <c r="O453" s="405" t="s">
        <v>1094</v>
      </c>
      <c r="P453" s="493" t="s">
        <v>883</v>
      </c>
      <c r="Q453" s="405" t="s">
        <v>1094</v>
      </c>
      <c r="R453" s="405" t="s">
        <v>1094</v>
      </c>
      <c r="S453" s="405" t="s">
        <v>1094</v>
      </c>
      <c r="T453" s="405" t="s">
        <v>1094</v>
      </c>
      <c r="U453" s="405" t="s">
        <v>1094</v>
      </c>
    </row>
    <row r="454" spans="1:21">
      <c r="A454" s="242" t="s">
        <v>853</v>
      </c>
      <c r="B454" s="297" t="s">
        <v>1247</v>
      </c>
      <c r="C454" s="121" t="s">
        <v>733</v>
      </c>
      <c r="D454" s="493" t="s">
        <v>1094</v>
      </c>
      <c r="E454" s="493" t="s">
        <v>1094</v>
      </c>
      <c r="F454" s="493" t="s">
        <v>883</v>
      </c>
      <c r="G454" s="283" t="s">
        <v>1094</v>
      </c>
      <c r="H454" s="283" t="s">
        <v>1094</v>
      </c>
      <c r="I454" s="493" t="s">
        <v>883</v>
      </c>
      <c r="J454" s="493" t="s">
        <v>883</v>
      </c>
      <c r="K454" s="416">
        <v>8.9285714285714286E-5</v>
      </c>
      <c r="L454" s="405" t="s">
        <v>1094</v>
      </c>
      <c r="M454" s="405" t="s">
        <v>1094</v>
      </c>
      <c r="N454" s="405" t="s">
        <v>1094</v>
      </c>
      <c r="O454" s="405" t="s">
        <v>1094</v>
      </c>
      <c r="P454" s="405" t="s">
        <v>1094</v>
      </c>
      <c r="Q454" s="405" t="s">
        <v>1094</v>
      </c>
      <c r="R454" s="405" t="s">
        <v>1094</v>
      </c>
      <c r="S454" s="405" t="s">
        <v>1094</v>
      </c>
      <c r="T454" s="405" t="s">
        <v>1094</v>
      </c>
      <c r="U454" s="405" t="s">
        <v>1094</v>
      </c>
    </row>
    <row r="455" spans="1:21">
      <c r="A455" s="242" t="s">
        <v>853</v>
      </c>
      <c r="B455" s="297" t="s">
        <v>1248</v>
      </c>
      <c r="C455" s="108" t="s">
        <v>595</v>
      </c>
      <c r="D455" s="493" t="s">
        <v>883</v>
      </c>
      <c r="E455" s="497" t="s">
        <v>1094</v>
      </c>
      <c r="F455" s="493" t="s">
        <v>883</v>
      </c>
      <c r="G455" s="283" t="s">
        <v>883</v>
      </c>
      <c r="H455" s="283" t="s">
        <v>1094</v>
      </c>
      <c r="I455" s="493" t="s">
        <v>883</v>
      </c>
      <c r="J455" s="493" t="s">
        <v>1094</v>
      </c>
      <c r="K455" s="416">
        <v>1.4062499999999999E-3</v>
      </c>
      <c r="L455" s="493" t="s">
        <v>883</v>
      </c>
      <c r="M455" s="405" t="s">
        <v>1094</v>
      </c>
      <c r="N455" s="493" t="s">
        <v>883</v>
      </c>
      <c r="O455" s="493" t="s">
        <v>883</v>
      </c>
      <c r="P455" s="493" t="s">
        <v>883</v>
      </c>
      <c r="Q455" s="493" t="s">
        <v>883</v>
      </c>
      <c r="R455" s="405" t="s">
        <v>1094</v>
      </c>
      <c r="S455" s="405" t="s">
        <v>1094</v>
      </c>
      <c r="T455" s="405" t="s">
        <v>1094</v>
      </c>
      <c r="U455" s="493" t="s">
        <v>883</v>
      </c>
    </row>
    <row r="456" spans="1:21">
      <c r="A456" s="242" t="s">
        <v>853</v>
      </c>
      <c r="B456" s="282" t="s">
        <v>350</v>
      </c>
      <c r="C456" s="121" t="s">
        <v>691</v>
      </c>
      <c r="D456" s="493" t="s">
        <v>883</v>
      </c>
      <c r="E456" s="493" t="s">
        <v>883</v>
      </c>
      <c r="F456" s="493" t="s">
        <v>1094</v>
      </c>
      <c r="G456" s="283" t="s">
        <v>1094</v>
      </c>
      <c r="H456" s="283" t="s">
        <v>1094</v>
      </c>
      <c r="I456" s="283" t="s">
        <v>1094</v>
      </c>
      <c r="J456" s="493" t="s">
        <v>1094</v>
      </c>
      <c r="K456" s="416">
        <v>7.4999999999999993E-5</v>
      </c>
      <c r="L456" s="405" t="s">
        <v>1094</v>
      </c>
      <c r="M456" s="405" t="s">
        <v>1094</v>
      </c>
      <c r="N456" s="405" t="s">
        <v>1094</v>
      </c>
      <c r="O456" s="405" t="s">
        <v>1094</v>
      </c>
      <c r="P456" s="405" t="s">
        <v>1094</v>
      </c>
      <c r="Q456" s="405" t="s">
        <v>1094</v>
      </c>
      <c r="R456" s="405" t="s">
        <v>1094</v>
      </c>
      <c r="S456" s="405" t="s">
        <v>1094</v>
      </c>
      <c r="T456" s="405" t="s">
        <v>1094</v>
      </c>
      <c r="U456" s="405" t="s">
        <v>1094</v>
      </c>
    </row>
    <row r="457" spans="1:21">
      <c r="A457" s="242" t="s">
        <v>853</v>
      </c>
      <c r="B457" s="282" t="s">
        <v>351</v>
      </c>
      <c r="C457" s="121" t="s">
        <v>740</v>
      </c>
      <c r="D457" s="493" t="s">
        <v>883</v>
      </c>
      <c r="E457" s="493" t="s">
        <v>883</v>
      </c>
      <c r="F457" s="493" t="s">
        <v>1094</v>
      </c>
      <c r="G457" s="283" t="s">
        <v>1094</v>
      </c>
      <c r="H457" s="493" t="s">
        <v>1094</v>
      </c>
      <c r="I457" s="283" t="s">
        <v>1094</v>
      </c>
      <c r="J457" s="493" t="s">
        <v>883</v>
      </c>
      <c r="K457" s="416">
        <v>6.2500000000000001E-4</v>
      </c>
      <c r="L457" s="405" t="s">
        <v>1094</v>
      </c>
      <c r="M457" s="405" t="s">
        <v>1094</v>
      </c>
      <c r="N457" s="405" t="s">
        <v>1094</v>
      </c>
      <c r="O457" s="405" t="s">
        <v>1094</v>
      </c>
      <c r="P457" s="405" t="s">
        <v>1094</v>
      </c>
      <c r="Q457" s="405" t="s">
        <v>1094</v>
      </c>
      <c r="R457" s="405" t="s">
        <v>1094</v>
      </c>
      <c r="S457" s="405" t="s">
        <v>1094</v>
      </c>
      <c r="T457" s="405" t="s">
        <v>1094</v>
      </c>
      <c r="U457" s="405" t="s">
        <v>1094</v>
      </c>
    </row>
    <row r="458" spans="1:21">
      <c r="A458" s="242" t="s">
        <v>853</v>
      </c>
      <c r="B458" s="281" t="s">
        <v>1303</v>
      </c>
      <c r="C458" s="121" t="s">
        <v>826</v>
      </c>
      <c r="D458" s="493" t="s">
        <v>883</v>
      </c>
      <c r="E458" s="493" t="s">
        <v>1094</v>
      </c>
      <c r="F458" s="493" t="s">
        <v>883</v>
      </c>
      <c r="G458" s="493" t="s">
        <v>883</v>
      </c>
      <c r="H458" s="283" t="s">
        <v>883</v>
      </c>
      <c r="I458" s="493" t="s">
        <v>883</v>
      </c>
      <c r="J458" s="283" t="s">
        <v>1094</v>
      </c>
      <c r="K458" s="416">
        <v>0.04</v>
      </c>
      <c r="L458" s="493" t="s">
        <v>883</v>
      </c>
      <c r="M458" s="405" t="s">
        <v>1094</v>
      </c>
      <c r="N458" s="405" t="s">
        <v>1094</v>
      </c>
      <c r="O458" s="493" t="s">
        <v>883</v>
      </c>
      <c r="P458" s="405" t="s">
        <v>1094</v>
      </c>
      <c r="Q458" s="493" t="s">
        <v>883</v>
      </c>
      <c r="R458" s="405" t="s">
        <v>1094</v>
      </c>
      <c r="S458" s="405" t="s">
        <v>1094</v>
      </c>
      <c r="T458" s="405" t="s">
        <v>1094</v>
      </c>
      <c r="U458" s="493" t="s">
        <v>883</v>
      </c>
    </row>
    <row r="459" spans="1:21">
      <c r="A459" s="242" t="s">
        <v>853</v>
      </c>
      <c r="B459" s="282" t="s">
        <v>352</v>
      </c>
      <c r="C459" s="106" t="s">
        <v>594</v>
      </c>
      <c r="D459" s="491" t="s">
        <v>1094</v>
      </c>
      <c r="E459" s="493" t="s">
        <v>883</v>
      </c>
      <c r="F459" s="493" t="s">
        <v>883</v>
      </c>
      <c r="G459" s="283" t="s">
        <v>1094</v>
      </c>
      <c r="H459" s="493" t="s">
        <v>883</v>
      </c>
      <c r="I459" s="493" t="s">
        <v>883</v>
      </c>
      <c r="J459" s="493" t="s">
        <v>883</v>
      </c>
      <c r="K459" s="416">
        <v>1.9444444444444445E-2</v>
      </c>
      <c r="L459" s="493" t="s">
        <v>883</v>
      </c>
      <c r="M459" s="405" t="s">
        <v>1094</v>
      </c>
      <c r="N459" s="493" t="s">
        <v>883</v>
      </c>
      <c r="O459" s="405" t="s">
        <v>1094</v>
      </c>
      <c r="P459" s="493" t="s">
        <v>883</v>
      </c>
      <c r="Q459" s="405" t="s">
        <v>1094</v>
      </c>
      <c r="R459" s="405" t="s">
        <v>1094</v>
      </c>
      <c r="S459" s="493" t="s">
        <v>883</v>
      </c>
      <c r="T459" s="405" t="s">
        <v>1094</v>
      </c>
      <c r="U459" s="405" t="s">
        <v>1094</v>
      </c>
    </row>
    <row r="460" spans="1:21">
      <c r="A460" s="242" t="s">
        <v>853</v>
      </c>
      <c r="B460" s="282" t="s">
        <v>353</v>
      </c>
      <c r="C460" s="106" t="s">
        <v>803</v>
      </c>
      <c r="D460" s="491" t="s">
        <v>1094</v>
      </c>
      <c r="E460" s="491" t="s">
        <v>1094</v>
      </c>
      <c r="F460" s="493" t="s">
        <v>883</v>
      </c>
      <c r="G460" s="283" t="s">
        <v>1094</v>
      </c>
      <c r="H460" s="493" t="s">
        <v>883</v>
      </c>
      <c r="I460" s="493" t="s">
        <v>883</v>
      </c>
      <c r="J460" s="493" t="s">
        <v>883</v>
      </c>
      <c r="K460" s="416">
        <v>9.3023255813953487E-3</v>
      </c>
      <c r="L460" s="493" t="s">
        <v>883</v>
      </c>
      <c r="M460" s="493" t="s">
        <v>883</v>
      </c>
      <c r="N460" s="493" t="s">
        <v>883</v>
      </c>
      <c r="O460" s="493" t="s">
        <v>883</v>
      </c>
      <c r="P460" s="405" t="s">
        <v>1094</v>
      </c>
      <c r="Q460" s="493" t="s">
        <v>883</v>
      </c>
      <c r="R460" s="493" t="s">
        <v>883</v>
      </c>
      <c r="S460" s="493" t="s">
        <v>883</v>
      </c>
      <c r="T460" s="493" t="s">
        <v>883</v>
      </c>
      <c r="U460" s="493" t="s">
        <v>883</v>
      </c>
    </row>
    <row r="461" spans="1:21">
      <c r="A461" s="242" t="s">
        <v>853</v>
      </c>
      <c r="B461" s="282" t="s">
        <v>354</v>
      </c>
      <c r="C461" s="106" t="s">
        <v>610</v>
      </c>
      <c r="D461" s="491" t="s">
        <v>883</v>
      </c>
      <c r="E461" s="493" t="s">
        <v>1094</v>
      </c>
      <c r="F461" s="493" t="s">
        <v>1094</v>
      </c>
      <c r="G461" s="283" t="s">
        <v>1094</v>
      </c>
      <c r="H461" s="493" t="s">
        <v>883</v>
      </c>
      <c r="I461" s="493" t="s">
        <v>883</v>
      </c>
      <c r="J461" s="493" t="s">
        <v>883</v>
      </c>
      <c r="K461" s="416">
        <v>6.7287234042553191E-3</v>
      </c>
      <c r="L461" s="405" t="s">
        <v>1094</v>
      </c>
      <c r="M461" s="405" t="s">
        <v>1094</v>
      </c>
      <c r="N461" s="405" t="s">
        <v>1094</v>
      </c>
      <c r="O461" s="405" t="s">
        <v>1094</v>
      </c>
      <c r="P461" s="405" t="s">
        <v>1094</v>
      </c>
      <c r="Q461" s="405" t="s">
        <v>1094</v>
      </c>
      <c r="R461" s="405" t="s">
        <v>1094</v>
      </c>
      <c r="S461" s="405" t="s">
        <v>1094</v>
      </c>
      <c r="T461" s="405" t="s">
        <v>1094</v>
      </c>
      <c r="U461" s="405" t="s">
        <v>1094</v>
      </c>
    </row>
    <row r="462" spans="1:21">
      <c r="A462" s="242" t="s">
        <v>853</v>
      </c>
      <c r="B462" s="282" t="s">
        <v>355</v>
      </c>
      <c r="C462" s="106" t="s">
        <v>1090</v>
      </c>
      <c r="D462" s="491" t="s">
        <v>1094</v>
      </c>
      <c r="E462" s="493" t="s">
        <v>1094</v>
      </c>
      <c r="F462" s="493" t="s">
        <v>883</v>
      </c>
      <c r="G462" s="283" t="s">
        <v>1094</v>
      </c>
      <c r="H462" s="493" t="s">
        <v>1094</v>
      </c>
      <c r="I462" s="493" t="s">
        <v>883</v>
      </c>
      <c r="J462" s="493" t="s">
        <v>883</v>
      </c>
      <c r="K462" s="416">
        <v>5.7692307692307696E-3</v>
      </c>
      <c r="L462" s="493" t="s">
        <v>883</v>
      </c>
      <c r="M462" s="405" t="s">
        <v>1094</v>
      </c>
      <c r="N462" s="493" t="s">
        <v>883</v>
      </c>
      <c r="O462" s="405" t="s">
        <v>1094</v>
      </c>
      <c r="P462" s="405" t="s">
        <v>1094</v>
      </c>
      <c r="Q462" s="405" t="s">
        <v>1094</v>
      </c>
      <c r="R462" s="405" t="s">
        <v>1094</v>
      </c>
      <c r="S462" s="493" t="s">
        <v>883</v>
      </c>
      <c r="T462" s="405" t="s">
        <v>1094</v>
      </c>
      <c r="U462" s="493" t="s">
        <v>883</v>
      </c>
    </row>
    <row r="463" spans="1:21">
      <c r="A463" s="242" t="s">
        <v>853</v>
      </c>
      <c r="B463" s="282" t="s">
        <v>356</v>
      </c>
      <c r="C463" s="122" t="s">
        <v>11122</v>
      </c>
      <c r="D463" s="504" t="s">
        <v>1094</v>
      </c>
      <c r="E463" s="493" t="s">
        <v>883</v>
      </c>
      <c r="F463" s="493" t="s">
        <v>883</v>
      </c>
      <c r="G463" s="283" t="s">
        <v>1094</v>
      </c>
      <c r="H463" s="493" t="s">
        <v>1094</v>
      </c>
      <c r="I463" s="493" t="s">
        <v>883</v>
      </c>
      <c r="J463" s="493" t="s">
        <v>883</v>
      </c>
      <c r="K463" s="416">
        <v>2.6785714285714287E-4</v>
      </c>
      <c r="L463" s="493" t="s">
        <v>883</v>
      </c>
      <c r="M463" s="405" t="s">
        <v>1094</v>
      </c>
      <c r="N463" s="405" t="s">
        <v>1094</v>
      </c>
      <c r="O463" s="493" t="s">
        <v>883</v>
      </c>
      <c r="P463" s="493" t="s">
        <v>883</v>
      </c>
      <c r="Q463" s="405" t="s">
        <v>1094</v>
      </c>
      <c r="R463" s="493" t="s">
        <v>883</v>
      </c>
      <c r="S463" s="493" t="s">
        <v>883</v>
      </c>
      <c r="T463" s="493" t="s">
        <v>883</v>
      </c>
      <c r="U463" s="493" t="s">
        <v>883</v>
      </c>
    </row>
    <row r="464" spans="1:21">
      <c r="A464" s="242" t="s">
        <v>853</v>
      </c>
      <c r="B464" s="282" t="s">
        <v>357</v>
      </c>
      <c r="C464" s="121" t="s">
        <v>726</v>
      </c>
      <c r="D464" s="493" t="s">
        <v>1094</v>
      </c>
      <c r="E464" s="493" t="s">
        <v>1094</v>
      </c>
      <c r="F464" s="493" t="s">
        <v>883</v>
      </c>
      <c r="G464" s="283" t="s">
        <v>1094</v>
      </c>
      <c r="H464" s="283" t="s">
        <v>1094</v>
      </c>
      <c r="I464" s="493" t="s">
        <v>883</v>
      </c>
      <c r="J464" s="493" t="s">
        <v>1094</v>
      </c>
      <c r="K464" s="416">
        <v>6.0810810810810808E-5</v>
      </c>
      <c r="L464" s="493" t="s">
        <v>883</v>
      </c>
      <c r="M464" s="405" t="s">
        <v>1094</v>
      </c>
      <c r="N464" s="405" t="s">
        <v>1094</v>
      </c>
      <c r="O464" s="493" t="s">
        <v>883</v>
      </c>
      <c r="P464" s="493" t="s">
        <v>883</v>
      </c>
      <c r="Q464" s="493" t="s">
        <v>883</v>
      </c>
      <c r="R464" s="405" t="s">
        <v>1094</v>
      </c>
      <c r="S464" s="405" t="s">
        <v>1094</v>
      </c>
      <c r="T464" s="493" t="s">
        <v>883</v>
      </c>
      <c r="U464" s="493" t="s">
        <v>883</v>
      </c>
    </row>
    <row r="465" spans="1:21">
      <c r="A465" s="242" t="s">
        <v>853</v>
      </c>
      <c r="B465" s="297" t="s">
        <v>1249</v>
      </c>
      <c r="C465" s="213" t="s">
        <v>608</v>
      </c>
      <c r="D465" s="493" t="s">
        <v>883</v>
      </c>
      <c r="E465" s="491" t="s">
        <v>1094</v>
      </c>
      <c r="F465" s="493" t="s">
        <v>883</v>
      </c>
      <c r="G465" s="493" t="s">
        <v>883</v>
      </c>
      <c r="H465" s="283" t="s">
        <v>1094</v>
      </c>
      <c r="I465" s="493" t="s">
        <v>883</v>
      </c>
      <c r="J465" s="283" t="s">
        <v>1094</v>
      </c>
      <c r="K465" s="416">
        <v>1.25E-4</v>
      </c>
      <c r="L465" s="493" t="s">
        <v>883</v>
      </c>
      <c r="M465" s="493" t="s">
        <v>883</v>
      </c>
      <c r="N465" s="493" t="s">
        <v>883</v>
      </c>
      <c r="O465" s="493" t="s">
        <v>883</v>
      </c>
      <c r="P465" s="405" t="s">
        <v>1094</v>
      </c>
      <c r="Q465" s="493" t="s">
        <v>883</v>
      </c>
      <c r="R465" s="493" t="s">
        <v>883</v>
      </c>
      <c r="S465" s="493" t="s">
        <v>883</v>
      </c>
      <c r="T465" s="493" t="s">
        <v>883</v>
      </c>
      <c r="U465" s="493" t="s">
        <v>883</v>
      </c>
    </row>
    <row r="466" spans="1:21">
      <c r="A466" s="242" t="s">
        <v>853</v>
      </c>
      <c r="B466" s="282" t="s">
        <v>358</v>
      </c>
      <c r="C466" s="106" t="s">
        <v>798</v>
      </c>
      <c r="D466" s="491" t="s">
        <v>1094</v>
      </c>
      <c r="E466" s="493" t="s">
        <v>883</v>
      </c>
      <c r="F466" s="493" t="s">
        <v>883</v>
      </c>
      <c r="G466" s="283" t="s">
        <v>1094</v>
      </c>
      <c r="H466" s="283" t="s">
        <v>1094</v>
      </c>
      <c r="I466" s="493" t="s">
        <v>883</v>
      </c>
      <c r="J466" s="493" t="s">
        <v>1094</v>
      </c>
      <c r="K466" s="416">
        <v>3.076923076923077E-4</v>
      </c>
      <c r="L466" s="405" t="s">
        <v>1094</v>
      </c>
      <c r="M466" s="405" t="s">
        <v>1094</v>
      </c>
      <c r="N466" s="405" t="s">
        <v>1094</v>
      </c>
      <c r="O466" s="405" t="s">
        <v>1094</v>
      </c>
      <c r="P466" s="405" t="s">
        <v>1094</v>
      </c>
      <c r="Q466" s="405" t="s">
        <v>1094</v>
      </c>
      <c r="R466" s="405" t="s">
        <v>1094</v>
      </c>
      <c r="S466" s="405" t="s">
        <v>1094</v>
      </c>
      <c r="T466" s="405" t="s">
        <v>1094</v>
      </c>
      <c r="U466" s="405" t="s">
        <v>1094</v>
      </c>
    </row>
    <row r="467" spans="1:21">
      <c r="A467" s="242" t="s">
        <v>853</v>
      </c>
      <c r="B467" s="282" t="s">
        <v>359</v>
      </c>
      <c r="C467" s="106" t="s">
        <v>811</v>
      </c>
      <c r="D467" s="491" t="s">
        <v>1094</v>
      </c>
      <c r="E467" s="493" t="s">
        <v>883</v>
      </c>
      <c r="F467" s="493" t="s">
        <v>883</v>
      </c>
      <c r="G467" s="283" t="s">
        <v>1094</v>
      </c>
      <c r="H467" s="283" t="s">
        <v>1094</v>
      </c>
      <c r="I467" s="493" t="s">
        <v>883</v>
      </c>
      <c r="J467" s="493" t="s">
        <v>883</v>
      </c>
      <c r="K467" s="416">
        <v>1.0044642857142857E-4</v>
      </c>
      <c r="L467" s="405" t="s">
        <v>1094</v>
      </c>
      <c r="M467" s="405" t="s">
        <v>1094</v>
      </c>
      <c r="N467" s="405" t="s">
        <v>1094</v>
      </c>
      <c r="O467" s="405" t="s">
        <v>1094</v>
      </c>
      <c r="P467" s="405" t="s">
        <v>1094</v>
      </c>
      <c r="Q467" s="405" t="s">
        <v>1094</v>
      </c>
      <c r="R467" s="405" t="s">
        <v>1094</v>
      </c>
      <c r="S467" s="405" t="s">
        <v>1094</v>
      </c>
      <c r="T467" s="405" t="s">
        <v>1094</v>
      </c>
      <c r="U467" s="405" t="s">
        <v>1094</v>
      </c>
    </row>
    <row r="468" spans="1:21">
      <c r="A468" s="242" t="s">
        <v>853</v>
      </c>
      <c r="B468" s="297" t="s">
        <v>1250</v>
      </c>
      <c r="C468" s="121" t="s">
        <v>669</v>
      </c>
      <c r="D468" s="493" t="s">
        <v>883</v>
      </c>
      <c r="E468" s="493" t="s">
        <v>883</v>
      </c>
      <c r="F468" s="493" t="s">
        <v>1094</v>
      </c>
      <c r="G468" s="283" t="s">
        <v>883</v>
      </c>
      <c r="H468" s="283" t="s">
        <v>883</v>
      </c>
      <c r="I468" s="283" t="s">
        <v>1094</v>
      </c>
      <c r="J468" s="493" t="s">
        <v>883</v>
      </c>
      <c r="K468" s="416">
        <v>4.2857142857142859E-3</v>
      </c>
      <c r="L468" s="493" t="s">
        <v>883</v>
      </c>
      <c r="M468" s="405" t="s">
        <v>1094</v>
      </c>
      <c r="N468" s="405" t="s">
        <v>1094</v>
      </c>
      <c r="O468" s="405" t="s">
        <v>1094</v>
      </c>
      <c r="P468" s="405" t="s">
        <v>1094</v>
      </c>
      <c r="Q468" s="493" t="s">
        <v>883</v>
      </c>
      <c r="R468" s="405" t="s">
        <v>1094</v>
      </c>
      <c r="S468" s="405" t="s">
        <v>1094</v>
      </c>
      <c r="T468" s="405" t="s">
        <v>1094</v>
      </c>
      <c r="U468" s="493" t="s">
        <v>883</v>
      </c>
    </row>
    <row r="469" spans="1:21">
      <c r="A469" s="242" t="s">
        <v>853</v>
      </c>
      <c r="B469" s="282" t="s">
        <v>815</v>
      </c>
      <c r="C469" s="121" t="s">
        <v>620</v>
      </c>
      <c r="D469" s="493" t="s">
        <v>1094</v>
      </c>
      <c r="E469" s="493" t="s">
        <v>1094</v>
      </c>
      <c r="F469" s="493" t="s">
        <v>883</v>
      </c>
      <c r="G469" s="283" t="s">
        <v>1094</v>
      </c>
      <c r="H469" s="283" t="s">
        <v>1094</v>
      </c>
      <c r="I469" s="493" t="s">
        <v>883</v>
      </c>
      <c r="J469" s="493" t="s">
        <v>883</v>
      </c>
      <c r="K469" s="416">
        <v>8.3333333333333331E-5</v>
      </c>
      <c r="L469" s="493" t="s">
        <v>883</v>
      </c>
      <c r="M469" s="405" t="s">
        <v>1094</v>
      </c>
      <c r="N469" s="405" t="s">
        <v>1094</v>
      </c>
      <c r="O469" s="493" t="s">
        <v>883</v>
      </c>
      <c r="P469" s="405" t="s">
        <v>1094</v>
      </c>
      <c r="Q469" s="493" t="s">
        <v>883</v>
      </c>
      <c r="R469" s="493" t="s">
        <v>883</v>
      </c>
      <c r="S469" s="405" t="s">
        <v>1094</v>
      </c>
      <c r="T469" s="493" t="s">
        <v>883</v>
      </c>
      <c r="U469" s="493" t="s">
        <v>883</v>
      </c>
    </row>
    <row r="470" spans="1:21">
      <c r="A470" s="242" t="s">
        <v>853</v>
      </c>
      <c r="B470" s="282" t="s">
        <v>821</v>
      </c>
      <c r="C470" s="121" t="s">
        <v>670</v>
      </c>
      <c r="D470" s="493" t="s">
        <v>1094</v>
      </c>
      <c r="E470" s="493" t="s">
        <v>883</v>
      </c>
      <c r="F470" s="493" t="s">
        <v>883</v>
      </c>
      <c r="G470" s="283" t="s">
        <v>883</v>
      </c>
      <c r="H470" s="283" t="s">
        <v>1094</v>
      </c>
      <c r="I470" s="493" t="s">
        <v>883</v>
      </c>
      <c r="J470" s="493" t="s">
        <v>1094</v>
      </c>
      <c r="K470" s="416">
        <v>8.8888888888888893E-4</v>
      </c>
      <c r="L470" s="493" t="s">
        <v>883</v>
      </c>
      <c r="M470" s="405" t="s">
        <v>1094</v>
      </c>
      <c r="N470" s="405" t="s">
        <v>1094</v>
      </c>
      <c r="O470" s="493" t="s">
        <v>883</v>
      </c>
      <c r="P470" s="493" t="s">
        <v>883</v>
      </c>
      <c r="Q470" s="493" t="s">
        <v>883</v>
      </c>
      <c r="R470" s="493" t="s">
        <v>883</v>
      </c>
      <c r="S470" s="493" t="s">
        <v>883</v>
      </c>
      <c r="T470" s="493" t="s">
        <v>883</v>
      </c>
      <c r="U470" s="493" t="s">
        <v>883</v>
      </c>
    </row>
    <row r="471" spans="1:21">
      <c r="A471" s="242" t="s">
        <v>853</v>
      </c>
      <c r="B471" s="297" t="s">
        <v>1251</v>
      </c>
      <c r="C471" s="121" t="s">
        <v>780</v>
      </c>
      <c r="D471" s="493" t="s">
        <v>1094</v>
      </c>
      <c r="E471" s="492" t="s">
        <v>1094</v>
      </c>
      <c r="F471" s="493" t="s">
        <v>883</v>
      </c>
      <c r="G471" s="283" t="s">
        <v>1094</v>
      </c>
      <c r="H471" s="283" t="s">
        <v>1094</v>
      </c>
      <c r="I471" s="493" t="s">
        <v>883</v>
      </c>
      <c r="J471" s="493" t="s">
        <v>1094</v>
      </c>
      <c r="K471" s="416">
        <v>0.05</v>
      </c>
      <c r="L471" s="493" t="s">
        <v>883</v>
      </c>
      <c r="M471" s="405" t="s">
        <v>1094</v>
      </c>
      <c r="N471" s="405" t="s">
        <v>1094</v>
      </c>
      <c r="O471" s="405" t="s">
        <v>1094</v>
      </c>
      <c r="P471" s="405" t="s">
        <v>1094</v>
      </c>
      <c r="Q471" s="405" t="s">
        <v>1094</v>
      </c>
      <c r="R471" s="493" t="s">
        <v>883</v>
      </c>
      <c r="S471" s="493" t="s">
        <v>883</v>
      </c>
      <c r="T471" s="493" t="s">
        <v>883</v>
      </c>
      <c r="U471" s="405" t="s">
        <v>1094</v>
      </c>
    </row>
    <row r="472" spans="1:21">
      <c r="A472" s="242" t="s">
        <v>853</v>
      </c>
      <c r="B472" s="297" t="s">
        <v>1252</v>
      </c>
      <c r="C472" s="121" t="s">
        <v>748</v>
      </c>
      <c r="D472" s="493" t="s">
        <v>1094</v>
      </c>
      <c r="E472" s="493" t="s">
        <v>1094</v>
      </c>
      <c r="F472" s="493" t="s">
        <v>883</v>
      </c>
      <c r="G472" s="493" t="s">
        <v>883</v>
      </c>
      <c r="H472" s="283" t="s">
        <v>1094</v>
      </c>
      <c r="I472" s="493" t="s">
        <v>883</v>
      </c>
      <c r="J472" s="283" t="s">
        <v>1094</v>
      </c>
      <c r="K472" s="416">
        <v>1.7142857142857142E-3</v>
      </c>
      <c r="L472" s="493" t="s">
        <v>883</v>
      </c>
      <c r="M472" s="405" t="s">
        <v>1094</v>
      </c>
      <c r="N472" s="405" t="s">
        <v>1094</v>
      </c>
      <c r="O472" s="493" t="s">
        <v>883</v>
      </c>
      <c r="P472" s="405" t="s">
        <v>1094</v>
      </c>
      <c r="Q472" s="493" t="s">
        <v>883</v>
      </c>
      <c r="R472" s="493" t="s">
        <v>883</v>
      </c>
      <c r="S472" s="405" t="s">
        <v>1094</v>
      </c>
      <c r="T472" s="493" t="s">
        <v>883</v>
      </c>
      <c r="U472" s="493" t="s">
        <v>883</v>
      </c>
    </row>
    <row r="473" spans="1:21">
      <c r="A473" s="529" t="s">
        <v>853</v>
      </c>
      <c r="B473" s="530" t="s">
        <v>11170</v>
      </c>
      <c r="C473" s="552" t="s">
        <v>11169</v>
      </c>
      <c r="D473" s="553" t="s">
        <v>883</v>
      </c>
      <c r="E473" s="547" t="s">
        <v>883</v>
      </c>
      <c r="F473" s="547" t="s">
        <v>1094</v>
      </c>
      <c r="G473" s="547" t="s">
        <v>883</v>
      </c>
      <c r="H473" s="548" t="s">
        <v>883</v>
      </c>
      <c r="I473" s="547" t="s">
        <v>1094</v>
      </c>
      <c r="J473" s="548" t="s">
        <v>883</v>
      </c>
      <c r="K473" s="533">
        <v>6.6600000000000001E-3</v>
      </c>
      <c r="L473" s="547" t="s">
        <v>1094</v>
      </c>
      <c r="M473" s="533" t="s">
        <v>1094</v>
      </c>
      <c r="N473" s="547" t="s">
        <v>1094</v>
      </c>
      <c r="O473" s="547" t="s">
        <v>1094</v>
      </c>
      <c r="P473" s="547" t="s">
        <v>1094</v>
      </c>
      <c r="Q473" s="547" t="s">
        <v>1094</v>
      </c>
      <c r="R473" s="533" t="s">
        <v>1094</v>
      </c>
      <c r="S473" s="533" t="s">
        <v>1094</v>
      </c>
      <c r="T473" s="547" t="s">
        <v>1094</v>
      </c>
      <c r="U473" s="547" t="s">
        <v>1094</v>
      </c>
    </row>
    <row r="474" spans="1:21">
      <c r="A474" s="529" t="s">
        <v>853</v>
      </c>
      <c r="B474" s="530" t="s">
        <v>11166</v>
      </c>
      <c r="C474" s="552" t="s">
        <v>8179</v>
      </c>
      <c r="D474" s="553" t="s">
        <v>1094</v>
      </c>
      <c r="E474" s="547" t="s">
        <v>883</v>
      </c>
      <c r="F474" s="547" t="s">
        <v>883</v>
      </c>
      <c r="G474" s="547" t="s">
        <v>883</v>
      </c>
      <c r="H474" s="548" t="s">
        <v>1094</v>
      </c>
      <c r="I474" s="547" t="s">
        <v>883</v>
      </c>
      <c r="J474" s="547" t="s">
        <v>1094</v>
      </c>
      <c r="K474" s="533">
        <v>6.6666666666666671E-3</v>
      </c>
      <c r="L474" s="547" t="s">
        <v>883</v>
      </c>
      <c r="M474" s="547" t="s">
        <v>883</v>
      </c>
      <c r="N474" s="547" t="s">
        <v>883</v>
      </c>
      <c r="O474" s="547" t="s">
        <v>883</v>
      </c>
      <c r="P474" s="547" t="s">
        <v>883</v>
      </c>
      <c r="Q474" s="547" t="s">
        <v>883</v>
      </c>
      <c r="R474" s="547" t="s">
        <v>883</v>
      </c>
      <c r="S474" s="547" t="s">
        <v>1094</v>
      </c>
      <c r="T474" s="547" t="s">
        <v>883</v>
      </c>
      <c r="U474" s="547" t="s">
        <v>883</v>
      </c>
    </row>
    <row r="475" spans="1:21">
      <c r="A475" s="242" t="s">
        <v>853</v>
      </c>
      <c r="B475" s="282" t="s">
        <v>360</v>
      </c>
      <c r="C475" s="121" t="s">
        <v>773</v>
      </c>
      <c r="D475" s="493" t="s">
        <v>1094</v>
      </c>
      <c r="E475" s="493" t="s">
        <v>1094</v>
      </c>
      <c r="F475" s="493" t="s">
        <v>883</v>
      </c>
      <c r="G475" s="283" t="s">
        <v>1094</v>
      </c>
      <c r="H475" s="283" t="s">
        <v>1094</v>
      </c>
      <c r="I475" s="493" t="s">
        <v>883</v>
      </c>
      <c r="J475" s="493" t="s">
        <v>883</v>
      </c>
      <c r="K475" s="416">
        <v>1.6741071428571429E-4</v>
      </c>
      <c r="L475" s="405" t="s">
        <v>1094</v>
      </c>
      <c r="M475" s="405" t="s">
        <v>1094</v>
      </c>
      <c r="N475" s="405" t="s">
        <v>1094</v>
      </c>
      <c r="O475" s="405" t="s">
        <v>1094</v>
      </c>
      <c r="P475" s="405" t="s">
        <v>1094</v>
      </c>
      <c r="Q475" s="405" t="s">
        <v>1094</v>
      </c>
      <c r="R475" s="405" t="s">
        <v>1094</v>
      </c>
      <c r="S475" s="405" t="s">
        <v>1094</v>
      </c>
      <c r="T475" s="405" t="s">
        <v>1094</v>
      </c>
      <c r="U475" s="405" t="s">
        <v>1094</v>
      </c>
    </row>
    <row r="476" spans="1:21">
      <c r="A476" s="242" t="s">
        <v>853</v>
      </c>
      <c r="B476" s="282" t="s">
        <v>816</v>
      </c>
      <c r="C476" s="121" t="s">
        <v>629</v>
      </c>
      <c r="D476" s="493" t="s">
        <v>883</v>
      </c>
      <c r="E476" s="493" t="s">
        <v>1094</v>
      </c>
      <c r="F476" s="493" t="s">
        <v>883</v>
      </c>
      <c r="G476" s="493" t="s">
        <v>883</v>
      </c>
      <c r="H476" s="493" t="s">
        <v>883</v>
      </c>
      <c r="I476" s="493" t="s">
        <v>883</v>
      </c>
      <c r="J476" s="283" t="s">
        <v>1094</v>
      </c>
      <c r="K476" s="416">
        <v>1.0714285714285715E-3</v>
      </c>
      <c r="L476" s="405" t="s">
        <v>1094</v>
      </c>
      <c r="M476" s="405" t="s">
        <v>1094</v>
      </c>
      <c r="N476" s="405" t="s">
        <v>1094</v>
      </c>
      <c r="O476" s="405" t="s">
        <v>1094</v>
      </c>
      <c r="P476" s="405" t="s">
        <v>1094</v>
      </c>
      <c r="Q476" s="405" t="s">
        <v>1094</v>
      </c>
      <c r="R476" s="405" t="s">
        <v>1094</v>
      </c>
      <c r="S476" s="405" t="s">
        <v>1094</v>
      </c>
      <c r="T476" s="405" t="s">
        <v>1094</v>
      </c>
      <c r="U476" s="405" t="s">
        <v>1094</v>
      </c>
    </row>
    <row r="477" spans="1:21">
      <c r="A477" s="242" t="s">
        <v>853</v>
      </c>
      <c r="B477" s="282" t="s">
        <v>361</v>
      </c>
      <c r="C477" s="106" t="s">
        <v>603</v>
      </c>
      <c r="D477" s="491" t="s">
        <v>1094</v>
      </c>
      <c r="E477" s="493" t="s">
        <v>883</v>
      </c>
      <c r="F477" s="493" t="s">
        <v>883</v>
      </c>
      <c r="G477" s="283" t="s">
        <v>883</v>
      </c>
      <c r="H477" s="283" t="s">
        <v>1094</v>
      </c>
      <c r="I477" s="493" t="s">
        <v>883</v>
      </c>
      <c r="J477" s="493" t="s">
        <v>1094</v>
      </c>
      <c r="K477" s="416">
        <v>5.6249999999999998E-3</v>
      </c>
      <c r="L477" s="493" t="s">
        <v>883</v>
      </c>
      <c r="M477" s="493" t="s">
        <v>883</v>
      </c>
      <c r="N477" s="493" t="s">
        <v>883</v>
      </c>
      <c r="O477" s="493" t="s">
        <v>883</v>
      </c>
      <c r="P477" s="493" t="s">
        <v>883</v>
      </c>
      <c r="Q477" s="493" t="s">
        <v>883</v>
      </c>
      <c r="R477" s="493" t="s">
        <v>1094</v>
      </c>
      <c r="S477" s="493" t="s">
        <v>883</v>
      </c>
      <c r="T477" s="493" t="s">
        <v>883</v>
      </c>
      <c r="U477" s="493" t="s">
        <v>883</v>
      </c>
    </row>
    <row r="478" spans="1:21">
      <c r="A478" s="242" t="s">
        <v>853</v>
      </c>
      <c r="B478" s="282" t="s">
        <v>1314</v>
      </c>
      <c r="C478" s="121" t="s">
        <v>636</v>
      </c>
      <c r="D478" s="493" t="s">
        <v>1094</v>
      </c>
      <c r="E478" s="493" t="s">
        <v>1094</v>
      </c>
      <c r="F478" s="493" t="s">
        <v>883</v>
      </c>
      <c r="G478" s="283" t="s">
        <v>1094</v>
      </c>
      <c r="H478" s="283" t="s">
        <v>1094</v>
      </c>
      <c r="I478" s="493" t="s">
        <v>883</v>
      </c>
      <c r="J478" s="493" t="s">
        <v>883</v>
      </c>
      <c r="K478" s="416">
        <v>3.4883720930232558E-3</v>
      </c>
      <c r="L478" s="405" t="s">
        <v>1094</v>
      </c>
      <c r="M478" s="405" t="s">
        <v>1094</v>
      </c>
      <c r="N478" s="405" t="s">
        <v>1094</v>
      </c>
      <c r="O478" s="405" t="s">
        <v>1094</v>
      </c>
      <c r="P478" s="405" t="s">
        <v>1094</v>
      </c>
      <c r="Q478" s="405" t="s">
        <v>1094</v>
      </c>
      <c r="R478" s="405" t="s">
        <v>1094</v>
      </c>
      <c r="S478" s="405" t="s">
        <v>1094</v>
      </c>
      <c r="T478" s="405" t="s">
        <v>1094</v>
      </c>
      <c r="U478" s="405" t="s">
        <v>1094</v>
      </c>
    </row>
    <row r="479" spans="1:21">
      <c r="A479" s="529" t="s">
        <v>853</v>
      </c>
      <c r="B479" s="530" t="s">
        <v>11154</v>
      </c>
      <c r="C479" s="576" t="s">
        <v>11155</v>
      </c>
      <c r="D479" s="547" t="s">
        <v>883</v>
      </c>
      <c r="E479" s="547" t="s">
        <v>1094</v>
      </c>
      <c r="F479" s="547" t="s">
        <v>1094</v>
      </c>
      <c r="G479" s="548" t="s">
        <v>1094</v>
      </c>
      <c r="H479" s="548" t="s">
        <v>1094</v>
      </c>
      <c r="I479" s="547" t="s">
        <v>883</v>
      </c>
      <c r="J479" s="547" t="s">
        <v>883</v>
      </c>
      <c r="K479" s="533">
        <v>6.0000000000000001E-3</v>
      </c>
      <c r="L479" s="506" t="s">
        <v>1094</v>
      </c>
      <c r="M479" s="506" t="s">
        <v>1094</v>
      </c>
      <c r="N479" s="506" t="s">
        <v>1094</v>
      </c>
      <c r="O479" s="511" t="s">
        <v>1094</v>
      </c>
      <c r="P479" s="511" t="s">
        <v>1094</v>
      </c>
      <c r="Q479" s="511" t="s">
        <v>1094</v>
      </c>
      <c r="R479" s="511" t="s">
        <v>1094</v>
      </c>
      <c r="S479" s="511" t="s">
        <v>1094</v>
      </c>
      <c r="T479" s="511" t="s">
        <v>1094</v>
      </c>
      <c r="U479" s="511" t="s">
        <v>1094</v>
      </c>
    </row>
    <row r="480" spans="1:21">
      <c r="A480" s="242" t="s">
        <v>853</v>
      </c>
      <c r="B480" s="282" t="s">
        <v>362</v>
      </c>
      <c r="C480" s="121" t="s">
        <v>11304</v>
      </c>
      <c r="D480" s="493" t="s">
        <v>1094</v>
      </c>
      <c r="E480" s="493" t="s">
        <v>1094</v>
      </c>
      <c r="F480" s="493" t="s">
        <v>883</v>
      </c>
      <c r="G480" s="493" t="s">
        <v>1094</v>
      </c>
      <c r="H480" s="283" t="s">
        <v>1094</v>
      </c>
      <c r="I480" s="493" t="s">
        <v>883</v>
      </c>
      <c r="J480" s="283" t="s">
        <v>883</v>
      </c>
      <c r="K480" s="416">
        <v>4.1666666666666669E-4</v>
      </c>
      <c r="L480" s="493" t="s">
        <v>883</v>
      </c>
      <c r="M480" s="493" t="s">
        <v>883</v>
      </c>
      <c r="N480" s="493" t="s">
        <v>883</v>
      </c>
      <c r="O480" s="493" t="s">
        <v>1094</v>
      </c>
      <c r="P480" s="493" t="s">
        <v>883</v>
      </c>
      <c r="Q480" s="493" t="s">
        <v>1094</v>
      </c>
      <c r="R480" s="493" t="s">
        <v>883</v>
      </c>
      <c r="S480" s="493" t="s">
        <v>883</v>
      </c>
      <c r="T480" s="493" t="s">
        <v>883</v>
      </c>
      <c r="U480" s="493" t="s">
        <v>883</v>
      </c>
    </row>
    <row r="481" spans="1:21">
      <c r="A481" s="242" t="s">
        <v>853</v>
      </c>
      <c r="B481" s="282" t="s">
        <v>363</v>
      </c>
      <c r="C481" s="121" t="s">
        <v>690</v>
      </c>
      <c r="D481" s="492" t="s">
        <v>1094</v>
      </c>
      <c r="E481" s="493" t="s">
        <v>1094</v>
      </c>
      <c r="F481" s="493" t="s">
        <v>883</v>
      </c>
      <c r="G481" s="283" t="s">
        <v>883</v>
      </c>
      <c r="H481" s="283" t="s">
        <v>1094</v>
      </c>
      <c r="I481" s="493" t="s">
        <v>883</v>
      </c>
      <c r="J481" s="283" t="s">
        <v>1094</v>
      </c>
      <c r="K481" s="416">
        <v>4.0000000000000003E-5</v>
      </c>
      <c r="L481" s="493" t="s">
        <v>883</v>
      </c>
      <c r="M481" s="405" t="s">
        <v>1094</v>
      </c>
      <c r="N481" s="405" t="s">
        <v>1094</v>
      </c>
      <c r="O481" s="493" t="s">
        <v>883</v>
      </c>
      <c r="P481" s="493" t="s">
        <v>883</v>
      </c>
      <c r="Q481" s="493" t="s">
        <v>883</v>
      </c>
      <c r="R481" s="405" t="s">
        <v>1094</v>
      </c>
      <c r="S481" s="405" t="s">
        <v>1094</v>
      </c>
      <c r="T481" s="405" t="s">
        <v>1094</v>
      </c>
      <c r="U481" s="405" t="s">
        <v>1094</v>
      </c>
    </row>
    <row r="482" spans="1:21">
      <c r="A482" s="242" t="s">
        <v>853</v>
      </c>
      <c r="B482" s="282" t="s">
        <v>878</v>
      </c>
      <c r="C482" s="121" t="s">
        <v>775</v>
      </c>
      <c r="D482" s="493" t="s">
        <v>883</v>
      </c>
      <c r="E482" s="493" t="s">
        <v>883</v>
      </c>
      <c r="F482" s="493" t="s">
        <v>1094</v>
      </c>
      <c r="G482" s="283" t="s">
        <v>1094</v>
      </c>
      <c r="H482" s="283" t="s">
        <v>1094</v>
      </c>
      <c r="I482" s="283" t="s">
        <v>1094</v>
      </c>
      <c r="J482" s="493" t="s">
        <v>883</v>
      </c>
      <c r="K482" s="416">
        <v>5.8593749999999998E-4</v>
      </c>
      <c r="L482" s="405" t="s">
        <v>1094</v>
      </c>
      <c r="M482" s="405" t="s">
        <v>1094</v>
      </c>
      <c r="N482" s="405" t="s">
        <v>1094</v>
      </c>
      <c r="O482" s="405" t="s">
        <v>1094</v>
      </c>
      <c r="P482" s="405" t="s">
        <v>1094</v>
      </c>
      <c r="Q482" s="405" t="s">
        <v>1094</v>
      </c>
      <c r="R482" s="405" t="s">
        <v>1094</v>
      </c>
      <c r="S482" s="405" t="s">
        <v>1094</v>
      </c>
      <c r="T482" s="405" t="s">
        <v>1094</v>
      </c>
      <c r="U482" s="405" t="s">
        <v>1094</v>
      </c>
    </row>
    <row r="483" spans="1:21">
      <c r="A483" s="242" t="s">
        <v>853</v>
      </c>
      <c r="B483" s="282" t="s">
        <v>364</v>
      </c>
      <c r="C483" s="106" t="s">
        <v>799</v>
      </c>
      <c r="D483" s="492" t="s">
        <v>883</v>
      </c>
      <c r="E483" s="491" t="s">
        <v>1094</v>
      </c>
      <c r="F483" s="493" t="s">
        <v>1094</v>
      </c>
      <c r="G483" s="492" t="s">
        <v>883</v>
      </c>
      <c r="H483" s="283" t="s">
        <v>1094</v>
      </c>
      <c r="I483" s="492" t="s">
        <v>883</v>
      </c>
      <c r="J483" s="283" t="s">
        <v>1094</v>
      </c>
      <c r="K483" s="416">
        <v>5.6250000000000001E-2</v>
      </c>
      <c r="L483" s="416" t="s">
        <v>1094</v>
      </c>
      <c r="M483" s="416" t="s">
        <v>1094</v>
      </c>
      <c r="N483" s="416" t="s">
        <v>1094</v>
      </c>
      <c r="O483" s="416" t="s">
        <v>1094</v>
      </c>
      <c r="P483" s="416" t="s">
        <v>1094</v>
      </c>
      <c r="Q483" s="416" t="s">
        <v>1094</v>
      </c>
      <c r="R483" s="416" t="s">
        <v>1094</v>
      </c>
      <c r="S483" s="416" t="s">
        <v>1094</v>
      </c>
      <c r="T483" s="416" t="s">
        <v>1094</v>
      </c>
      <c r="U483" s="416" t="s">
        <v>1094</v>
      </c>
    </row>
    <row r="484" spans="1:21">
      <c r="A484" s="242" t="s">
        <v>853</v>
      </c>
      <c r="B484" s="282" t="s">
        <v>503</v>
      </c>
      <c r="C484" s="121" t="s">
        <v>718</v>
      </c>
      <c r="D484" s="493" t="s">
        <v>883</v>
      </c>
      <c r="E484" s="493" t="s">
        <v>1094</v>
      </c>
      <c r="F484" s="493" t="s">
        <v>883</v>
      </c>
      <c r="G484" s="283" t="s">
        <v>883</v>
      </c>
      <c r="H484" s="283" t="s">
        <v>1094</v>
      </c>
      <c r="I484" s="283" t="s">
        <v>883</v>
      </c>
      <c r="J484" s="283" t="s">
        <v>1094</v>
      </c>
      <c r="K484" s="416">
        <v>4.1666666666666666E-3</v>
      </c>
      <c r="L484" s="493" t="s">
        <v>883</v>
      </c>
      <c r="M484" s="405" t="s">
        <v>1094</v>
      </c>
      <c r="N484" s="405" t="s">
        <v>1094</v>
      </c>
      <c r="O484" s="405" t="s">
        <v>1094</v>
      </c>
      <c r="P484" s="405" t="s">
        <v>1094</v>
      </c>
      <c r="Q484" s="493" t="s">
        <v>883</v>
      </c>
      <c r="R484" s="405" t="s">
        <v>1094</v>
      </c>
      <c r="S484" s="405" t="s">
        <v>1094</v>
      </c>
      <c r="T484" s="493" t="s">
        <v>883</v>
      </c>
      <c r="U484" s="493" t="s">
        <v>883</v>
      </c>
    </row>
    <row r="485" spans="1:21">
      <c r="A485" s="242" t="s">
        <v>853</v>
      </c>
      <c r="B485" s="292" t="s">
        <v>3</v>
      </c>
      <c r="C485" s="108" t="s">
        <v>241</v>
      </c>
      <c r="D485" s="493" t="s">
        <v>883</v>
      </c>
      <c r="E485" s="497" t="s">
        <v>1094</v>
      </c>
      <c r="F485" s="493" t="s">
        <v>883</v>
      </c>
      <c r="G485" s="493" t="s">
        <v>883</v>
      </c>
      <c r="H485" s="283" t="s">
        <v>1094</v>
      </c>
      <c r="I485" s="493" t="s">
        <v>883</v>
      </c>
      <c r="J485" s="283" t="s">
        <v>1094</v>
      </c>
      <c r="K485" s="416">
        <v>5.3571428571428572E-3</v>
      </c>
      <c r="L485" s="405" t="s">
        <v>1094</v>
      </c>
      <c r="M485" s="405" t="s">
        <v>1094</v>
      </c>
      <c r="N485" s="405" t="s">
        <v>1094</v>
      </c>
      <c r="O485" s="405" t="s">
        <v>1094</v>
      </c>
      <c r="P485" s="405" t="s">
        <v>1094</v>
      </c>
      <c r="Q485" s="405" t="s">
        <v>1094</v>
      </c>
      <c r="R485" s="405" t="s">
        <v>1094</v>
      </c>
      <c r="S485" s="405" t="s">
        <v>1094</v>
      </c>
      <c r="T485" s="405" t="s">
        <v>1094</v>
      </c>
      <c r="U485" s="405" t="s">
        <v>1094</v>
      </c>
    </row>
    <row r="486" spans="1:21">
      <c r="A486" s="242" t="s">
        <v>853</v>
      </c>
      <c r="B486" s="282" t="s">
        <v>365</v>
      </c>
      <c r="C486" s="108" t="s">
        <v>244</v>
      </c>
      <c r="D486" s="497" t="s">
        <v>1094</v>
      </c>
      <c r="E486" s="493" t="s">
        <v>883</v>
      </c>
      <c r="F486" s="493" t="s">
        <v>883</v>
      </c>
      <c r="G486" s="283" t="s">
        <v>1094</v>
      </c>
      <c r="H486" s="493" t="s">
        <v>883</v>
      </c>
      <c r="I486" s="493" t="s">
        <v>883</v>
      </c>
      <c r="J486" s="493" t="s">
        <v>883</v>
      </c>
      <c r="K486" s="416">
        <v>4.5454545454545456E-2</v>
      </c>
      <c r="L486" s="493" t="s">
        <v>883</v>
      </c>
      <c r="M486" s="405" t="s">
        <v>1094</v>
      </c>
      <c r="N486" s="493" t="s">
        <v>883</v>
      </c>
      <c r="O486" s="405" t="s">
        <v>1094</v>
      </c>
      <c r="P486" s="493" t="s">
        <v>883</v>
      </c>
      <c r="Q486" s="405" t="s">
        <v>1094</v>
      </c>
      <c r="R486" s="405" t="s">
        <v>1094</v>
      </c>
      <c r="S486" s="493" t="s">
        <v>883</v>
      </c>
      <c r="T486" s="405" t="s">
        <v>1094</v>
      </c>
      <c r="U486" s="405" t="s">
        <v>1094</v>
      </c>
    </row>
    <row r="487" spans="1:21">
      <c r="A487" s="242" t="s">
        <v>853</v>
      </c>
      <c r="B487" s="297" t="s">
        <v>1253</v>
      </c>
      <c r="C487" s="108" t="s">
        <v>232</v>
      </c>
      <c r="D487" s="497" t="s">
        <v>1094</v>
      </c>
      <c r="E487" s="493" t="s">
        <v>883</v>
      </c>
      <c r="F487" s="493" t="s">
        <v>883</v>
      </c>
      <c r="G487" s="283" t="s">
        <v>1094</v>
      </c>
      <c r="H487" s="283" t="s">
        <v>1094</v>
      </c>
      <c r="I487" s="493" t="s">
        <v>883</v>
      </c>
      <c r="J487" s="493" t="s">
        <v>883</v>
      </c>
      <c r="K487" s="416">
        <v>1.0044642857142856E-3</v>
      </c>
      <c r="L487" s="493" t="s">
        <v>883</v>
      </c>
      <c r="M487" s="405" t="s">
        <v>1094</v>
      </c>
      <c r="N487" s="405" t="s">
        <v>1094</v>
      </c>
      <c r="O487" s="493" t="s">
        <v>883</v>
      </c>
      <c r="P487" s="405" t="s">
        <v>1094</v>
      </c>
      <c r="Q487" s="405" t="s">
        <v>1094</v>
      </c>
      <c r="R487" s="493" t="s">
        <v>883</v>
      </c>
      <c r="S487" s="405" t="s">
        <v>1094</v>
      </c>
      <c r="T487" s="405" t="s">
        <v>1094</v>
      </c>
      <c r="U487" s="405" t="s">
        <v>1094</v>
      </c>
    </row>
    <row r="488" spans="1:21">
      <c r="A488" s="242" t="s">
        <v>853</v>
      </c>
      <c r="B488" s="282" t="s">
        <v>366</v>
      </c>
      <c r="C488" s="121" t="s">
        <v>746</v>
      </c>
      <c r="D488" s="498" t="s">
        <v>883</v>
      </c>
      <c r="E488" s="493" t="s">
        <v>1094</v>
      </c>
      <c r="F488" s="493" t="s">
        <v>1094</v>
      </c>
      <c r="G488" s="493" t="s">
        <v>883</v>
      </c>
      <c r="H488" s="283" t="s">
        <v>1094</v>
      </c>
      <c r="I488" s="493" t="s">
        <v>883</v>
      </c>
      <c r="J488" s="493" t="s">
        <v>1094</v>
      </c>
      <c r="K488" s="416">
        <v>1.0135135135135135E-4</v>
      </c>
      <c r="L488" s="405" t="s">
        <v>1094</v>
      </c>
      <c r="M488" s="405" t="s">
        <v>1094</v>
      </c>
      <c r="N488" s="405" t="s">
        <v>1094</v>
      </c>
      <c r="O488" s="405" t="s">
        <v>1094</v>
      </c>
      <c r="P488" s="405" t="s">
        <v>1094</v>
      </c>
      <c r="Q488" s="405" t="s">
        <v>1094</v>
      </c>
      <c r="R488" s="405" t="s">
        <v>1094</v>
      </c>
      <c r="S488" s="405" t="s">
        <v>1094</v>
      </c>
      <c r="T488" s="405" t="s">
        <v>1094</v>
      </c>
      <c r="U488" s="405" t="s">
        <v>1094</v>
      </c>
    </row>
    <row r="489" spans="1:21">
      <c r="A489" s="337" t="s">
        <v>853</v>
      </c>
      <c r="B489" s="282" t="s">
        <v>367</v>
      </c>
      <c r="C489" s="121" t="s">
        <v>771</v>
      </c>
      <c r="D489" s="498" t="s">
        <v>883</v>
      </c>
      <c r="E489" s="493" t="s">
        <v>1094</v>
      </c>
      <c r="F489" s="493" t="s">
        <v>883</v>
      </c>
      <c r="G489" s="493" t="s">
        <v>883</v>
      </c>
      <c r="H489" s="283" t="s">
        <v>1094</v>
      </c>
      <c r="I489" s="493" t="s">
        <v>883</v>
      </c>
      <c r="J489" s="283" t="s">
        <v>1094</v>
      </c>
      <c r="K489" s="416">
        <v>4.1666666666666664E-2</v>
      </c>
      <c r="L489" s="405" t="s">
        <v>1094</v>
      </c>
      <c r="M489" s="405" t="s">
        <v>1094</v>
      </c>
      <c r="N489" s="405" t="s">
        <v>1094</v>
      </c>
      <c r="O489" s="405" t="s">
        <v>1094</v>
      </c>
      <c r="P489" s="405" t="s">
        <v>1094</v>
      </c>
      <c r="Q489" s="405" t="s">
        <v>1094</v>
      </c>
      <c r="R489" s="405" t="s">
        <v>1094</v>
      </c>
      <c r="S489" s="405" t="s">
        <v>1094</v>
      </c>
      <c r="T489" s="405" t="s">
        <v>1094</v>
      </c>
      <c r="U489" s="405" t="s">
        <v>1094</v>
      </c>
    </row>
    <row r="490" spans="1:21">
      <c r="A490" s="337" t="s">
        <v>853</v>
      </c>
      <c r="B490" s="388" t="s">
        <v>11214</v>
      </c>
      <c r="C490" s="389" t="s">
        <v>11215</v>
      </c>
      <c r="D490" s="493" t="s">
        <v>1094</v>
      </c>
      <c r="E490" s="493" t="s">
        <v>1094</v>
      </c>
      <c r="F490" s="493" t="s">
        <v>883</v>
      </c>
      <c r="G490" s="283" t="s">
        <v>1094</v>
      </c>
      <c r="H490" s="283" t="s">
        <v>1094</v>
      </c>
      <c r="I490" s="493" t="s">
        <v>883</v>
      </c>
      <c r="J490" s="283" t="s">
        <v>1094</v>
      </c>
      <c r="K490" s="416">
        <v>2.4615384615384616E-3</v>
      </c>
      <c r="L490" s="416" t="s">
        <v>1094</v>
      </c>
      <c r="M490" s="416" t="s">
        <v>1094</v>
      </c>
      <c r="N490" s="416" t="s">
        <v>1094</v>
      </c>
      <c r="O490" s="416" t="s">
        <v>1094</v>
      </c>
      <c r="P490" s="416" t="s">
        <v>1094</v>
      </c>
      <c r="Q490" s="416" t="s">
        <v>1094</v>
      </c>
      <c r="R490" s="416" t="s">
        <v>1094</v>
      </c>
      <c r="S490" s="416" t="s">
        <v>1094</v>
      </c>
      <c r="T490" s="416" t="s">
        <v>1094</v>
      </c>
      <c r="U490" s="416" t="s">
        <v>1094</v>
      </c>
    </row>
    <row r="491" spans="1:21">
      <c r="A491" s="337" t="s">
        <v>853</v>
      </c>
      <c r="B491" s="282" t="s">
        <v>368</v>
      </c>
      <c r="C491" s="108" t="s">
        <v>247</v>
      </c>
      <c r="D491" s="493" t="s">
        <v>883</v>
      </c>
      <c r="E491" s="499" t="s">
        <v>1094</v>
      </c>
      <c r="F491" s="493" t="s">
        <v>1094</v>
      </c>
      <c r="G491" s="493" t="s">
        <v>883</v>
      </c>
      <c r="H491" s="283" t="s">
        <v>1094</v>
      </c>
      <c r="I491" s="493" t="s">
        <v>883</v>
      </c>
      <c r="J491" s="283" t="s">
        <v>1094</v>
      </c>
      <c r="K491" s="416">
        <v>0.02</v>
      </c>
      <c r="L491" s="493" t="s">
        <v>883</v>
      </c>
      <c r="M491" s="405" t="s">
        <v>1094</v>
      </c>
      <c r="N491" s="405" t="s">
        <v>1094</v>
      </c>
      <c r="O491" s="493" t="s">
        <v>883</v>
      </c>
      <c r="P491" s="493" t="s">
        <v>883</v>
      </c>
      <c r="Q491" s="493" t="s">
        <v>883</v>
      </c>
      <c r="R491" s="405" t="s">
        <v>1094</v>
      </c>
      <c r="S491" s="405" t="s">
        <v>1094</v>
      </c>
      <c r="T491" s="405" t="s">
        <v>1094</v>
      </c>
      <c r="U491" s="405" t="s">
        <v>1094</v>
      </c>
    </row>
    <row r="492" spans="1:21">
      <c r="A492" s="337" t="s">
        <v>853</v>
      </c>
      <c r="B492" s="282" t="s">
        <v>504</v>
      </c>
      <c r="C492" s="121" t="s">
        <v>707</v>
      </c>
      <c r="D492" s="493" t="s">
        <v>1094</v>
      </c>
      <c r="E492" s="493" t="s">
        <v>883</v>
      </c>
      <c r="F492" s="493" t="s">
        <v>883</v>
      </c>
      <c r="G492" s="283" t="s">
        <v>1094</v>
      </c>
      <c r="H492" s="493" t="s">
        <v>883</v>
      </c>
      <c r="I492" s="493" t="s">
        <v>883</v>
      </c>
      <c r="J492" s="493" t="s">
        <v>883</v>
      </c>
      <c r="K492" s="416">
        <v>8.3333333333333332E-3</v>
      </c>
      <c r="L492" s="493" t="s">
        <v>883</v>
      </c>
      <c r="M492" s="405" t="s">
        <v>1094</v>
      </c>
      <c r="N492" s="493" t="s">
        <v>883</v>
      </c>
      <c r="O492" s="493" t="s">
        <v>883</v>
      </c>
      <c r="P492" s="493" t="s">
        <v>883</v>
      </c>
      <c r="Q492" s="405" t="s">
        <v>1094</v>
      </c>
      <c r="R492" s="493" t="s">
        <v>883</v>
      </c>
      <c r="S492" s="493" t="s">
        <v>883</v>
      </c>
      <c r="T492" s="405" t="s">
        <v>1094</v>
      </c>
      <c r="U492" s="405" t="s">
        <v>1094</v>
      </c>
    </row>
    <row r="493" spans="1:21">
      <c r="A493" s="337" t="s">
        <v>853</v>
      </c>
      <c r="B493" s="281" t="s">
        <v>1305</v>
      </c>
      <c r="C493" s="121" t="s">
        <v>766</v>
      </c>
      <c r="D493" s="493" t="s">
        <v>1094</v>
      </c>
      <c r="E493" s="493" t="s">
        <v>1094</v>
      </c>
      <c r="F493" s="493" t="s">
        <v>883</v>
      </c>
      <c r="G493" s="283" t="s">
        <v>1094</v>
      </c>
      <c r="H493" s="493" t="s">
        <v>1094</v>
      </c>
      <c r="I493" s="493" t="s">
        <v>883</v>
      </c>
      <c r="J493" s="493" t="s">
        <v>883</v>
      </c>
      <c r="K493" s="416">
        <v>2.8124999999999999E-3</v>
      </c>
      <c r="L493" s="493" t="s">
        <v>883</v>
      </c>
      <c r="M493" s="405" t="s">
        <v>1094</v>
      </c>
      <c r="N493" s="493" t="s">
        <v>883</v>
      </c>
      <c r="O493" s="405" t="s">
        <v>1094</v>
      </c>
      <c r="P493" s="405" t="s">
        <v>1094</v>
      </c>
      <c r="Q493" s="405" t="s">
        <v>1094</v>
      </c>
      <c r="R493" s="493" t="s">
        <v>883</v>
      </c>
      <c r="S493" s="405" t="s">
        <v>1094</v>
      </c>
      <c r="T493" s="493" t="s">
        <v>883</v>
      </c>
      <c r="U493" s="405" t="s">
        <v>1094</v>
      </c>
    </row>
    <row r="494" spans="1:21">
      <c r="A494" s="337" t="s">
        <v>853</v>
      </c>
      <c r="B494" s="282" t="s">
        <v>369</v>
      </c>
      <c r="C494" s="106" t="s">
        <v>877</v>
      </c>
      <c r="D494" s="501" t="s">
        <v>1094</v>
      </c>
      <c r="E494" s="493" t="s">
        <v>1094</v>
      </c>
      <c r="F494" s="493" t="s">
        <v>883</v>
      </c>
      <c r="G494" s="283" t="s">
        <v>1094</v>
      </c>
      <c r="H494" s="283" t="s">
        <v>1094</v>
      </c>
      <c r="I494" s="493" t="s">
        <v>883</v>
      </c>
      <c r="J494" s="493" t="s">
        <v>883</v>
      </c>
      <c r="K494" s="416">
        <v>7.1428571428571425E-2</v>
      </c>
      <c r="L494" s="405" t="s">
        <v>1094</v>
      </c>
      <c r="M494" s="405" t="s">
        <v>1094</v>
      </c>
      <c r="N494" s="405" t="s">
        <v>1094</v>
      </c>
      <c r="O494" s="405" t="s">
        <v>1094</v>
      </c>
      <c r="P494" s="405" t="s">
        <v>1094</v>
      </c>
      <c r="Q494" s="405" t="s">
        <v>1094</v>
      </c>
      <c r="R494" s="405" t="s">
        <v>1094</v>
      </c>
      <c r="S494" s="405" t="s">
        <v>1094</v>
      </c>
      <c r="T494" s="405" t="s">
        <v>1094</v>
      </c>
      <c r="U494" s="405" t="s">
        <v>1094</v>
      </c>
    </row>
    <row r="495" spans="1:21">
      <c r="A495" s="337" t="s">
        <v>853</v>
      </c>
      <c r="B495" s="281" t="s">
        <v>1254</v>
      </c>
      <c r="C495" s="121" t="s">
        <v>732</v>
      </c>
      <c r="D495" s="493" t="s">
        <v>1094</v>
      </c>
      <c r="E495" s="493" t="s">
        <v>883</v>
      </c>
      <c r="F495" s="493" t="s">
        <v>883</v>
      </c>
      <c r="G495" s="283" t="s">
        <v>1094</v>
      </c>
      <c r="H495" s="283" t="s">
        <v>1094</v>
      </c>
      <c r="I495" s="493" t="s">
        <v>883</v>
      </c>
      <c r="J495" s="493" t="s">
        <v>883</v>
      </c>
      <c r="K495" s="416">
        <v>1.875E-4</v>
      </c>
      <c r="L495" s="493" t="s">
        <v>883</v>
      </c>
      <c r="M495" s="405" t="s">
        <v>1094</v>
      </c>
      <c r="N495" s="493" t="s">
        <v>883</v>
      </c>
      <c r="O495" s="493" t="s">
        <v>883</v>
      </c>
      <c r="P495" s="493" t="s">
        <v>883</v>
      </c>
      <c r="Q495" s="405" t="s">
        <v>1094</v>
      </c>
      <c r="R495" s="493" t="s">
        <v>883</v>
      </c>
      <c r="S495" s="493" t="s">
        <v>883</v>
      </c>
      <c r="T495" s="405" t="s">
        <v>1094</v>
      </c>
      <c r="U495" s="405" t="s">
        <v>1094</v>
      </c>
    </row>
    <row r="496" spans="1:21">
      <c r="A496" s="337" t="s">
        <v>853</v>
      </c>
      <c r="B496" s="282" t="s">
        <v>271</v>
      </c>
      <c r="C496" s="121" t="s">
        <v>713</v>
      </c>
      <c r="D496" s="498" t="s">
        <v>883</v>
      </c>
      <c r="E496" s="492" t="s">
        <v>1094</v>
      </c>
      <c r="F496" s="493" t="s">
        <v>1094</v>
      </c>
      <c r="G496" s="493" t="s">
        <v>883</v>
      </c>
      <c r="H496" s="313" t="s">
        <v>883</v>
      </c>
      <c r="I496" s="493" t="s">
        <v>883</v>
      </c>
      <c r="J496" s="283" t="s">
        <v>1094</v>
      </c>
      <c r="K496" s="416">
        <v>3.7499999999999999E-3</v>
      </c>
      <c r="L496" s="493" t="s">
        <v>883</v>
      </c>
      <c r="M496" s="405" t="s">
        <v>1094</v>
      </c>
      <c r="N496" s="405" t="s">
        <v>1094</v>
      </c>
      <c r="O496" s="405" t="s">
        <v>1094</v>
      </c>
      <c r="P496" s="405" t="s">
        <v>1094</v>
      </c>
      <c r="Q496" s="405" t="s">
        <v>1094</v>
      </c>
      <c r="R496" s="405" t="s">
        <v>1094</v>
      </c>
      <c r="S496" s="405" t="s">
        <v>1094</v>
      </c>
      <c r="T496" s="405" t="s">
        <v>1094</v>
      </c>
      <c r="U496" s="405" t="s">
        <v>1094</v>
      </c>
    </row>
    <row r="497" spans="1:21">
      <c r="A497" s="337" t="s">
        <v>853</v>
      </c>
      <c r="B497" s="281" t="s">
        <v>1255</v>
      </c>
      <c r="C497" s="121" t="s">
        <v>747</v>
      </c>
      <c r="D497" s="493" t="s">
        <v>883</v>
      </c>
      <c r="E497" s="493" t="s">
        <v>883</v>
      </c>
      <c r="F497" s="493" t="s">
        <v>1094</v>
      </c>
      <c r="G497" s="283" t="s">
        <v>1094</v>
      </c>
      <c r="H497" s="283" t="s">
        <v>1094</v>
      </c>
      <c r="I497" s="283" t="s">
        <v>1094</v>
      </c>
      <c r="J497" s="493" t="s">
        <v>883</v>
      </c>
      <c r="K497" s="416">
        <v>5.5147058823529414E-5</v>
      </c>
      <c r="L497" s="493" t="s">
        <v>883</v>
      </c>
      <c r="M497" s="405" t="s">
        <v>1094</v>
      </c>
      <c r="N497" s="405" t="s">
        <v>1094</v>
      </c>
      <c r="O497" s="405" t="s">
        <v>1094</v>
      </c>
      <c r="P497" s="405" t="s">
        <v>1094</v>
      </c>
      <c r="Q497" s="493" t="s">
        <v>883</v>
      </c>
      <c r="R497" s="405" t="s">
        <v>1094</v>
      </c>
      <c r="S497" s="493" t="s">
        <v>883</v>
      </c>
      <c r="T497" s="405" t="s">
        <v>1094</v>
      </c>
      <c r="U497" s="493" t="s">
        <v>883</v>
      </c>
    </row>
    <row r="498" spans="1:21">
      <c r="A498" s="337" t="s">
        <v>853</v>
      </c>
      <c r="B498" s="282" t="s">
        <v>370</v>
      </c>
      <c r="C498" s="121" t="s">
        <v>722</v>
      </c>
      <c r="D498" s="493" t="s">
        <v>883</v>
      </c>
      <c r="E498" s="493" t="s">
        <v>883</v>
      </c>
      <c r="F498" s="493" t="s">
        <v>1094</v>
      </c>
      <c r="G498" s="283" t="s">
        <v>883</v>
      </c>
      <c r="H498" s="283" t="s">
        <v>883</v>
      </c>
      <c r="I498" s="283" t="s">
        <v>1094</v>
      </c>
      <c r="J498" s="493" t="s">
        <v>883</v>
      </c>
      <c r="K498" s="416">
        <v>1.3888888888888888E-2</v>
      </c>
      <c r="L498" s="493" t="s">
        <v>883</v>
      </c>
      <c r="M498" s="493" t="s">
        <v>883</v>
      </c>
      <c r="N498" s="493" t="s">
        <v>883</v>
      </c>
      <c r="O498" s="493" t="s">
        <v>883</v>
      </c>
      <c r="P498" s="405" t="s">
        <v>1094</v>
      </c>
      <c r="Q498" s="493" t="s">
        <v>883</v>
      </c>
      <c r="R498" s="493" t="s">
        <v>883</v>
      </c>
      <c r="S498" s="493" t="s">
        <v>883</v>
      </c>
      <c r="T498" s="493" t="s">
        <v>883</v>
      </c>
      <c r="U498" s="493" t="s">
        <v>883</v>
      </c>
    </row>
    <row r="499" spans="1:21">
      <c r="A499" s="242" t="s">
        <v>853</v>
      </c>
      <c r="B499" s="282" t="s">
        <v>371</v>
      </c>
      <c r="C499" s="121" t="s">
        <v>750</v>
      </c>
      <c r="D499" s="493" t="s">
        <v>883</v>
      </c>
      <c r="E499" s="493" t="s">
        <v>883</v>
      </c>
      <c r="F499" s="493" t="s">
        <v>1094</v>
      </c>
      <c r="G499" s="283" t="s">
        <v>1094</v>
      </c>
      <c r="H499" s="493" t="s">
        <v>883</v>
      </c>
      <c r="I499" s="283" t="s">
        <v>1094</v>
      </c>
      <c r="J499" s="493" t="s">
        <v>883</v>
      </c>
      <c r="K499" s="416">
        <v>2E-3</v>
      </c>
      <c r="L499" s="493" t="s">
        <v>883</v>
      </c>
      <c r="M499" s="405" t="s">
        <v>1094</v>
      </c>
      <c r="N499" s="493" t="s">
        <v>883</v>
      </c>
      <c r="O499" s="405" t="s">
        <v>1094</v>
      </c>
      <c r="P499" s="405" t="s">
        <v>1094</v>
      </c>
      <c r="Q499" s="493" t="s">
        <v>883</v>
      </c>
      <c r="R499" s="493" t="s">
        <v>883</v>
      </c>
      <c r="S499" s="493" t="s">
        <v>883</v>
      </c>
      <c r="T499" s="493" t="s">
        <v>883</v>
      </c>
      <c r="U499" s="493" t="s">
        <v>883</v>
      </c>
    </row>
    <row r="500" spans="1:21">
      <c r="A500" s="242" t="s">
        <v>853</v>
      </c>
      <c r="B500" s="282" t="s">
        <v>372</v>
      </c>
      <c r="C500" s="121" t="s">
        <v>617</v>
      </c>
      <c r="D500" s="493" t="s">
        <v>883</v>
      </c>
      <c r="E500" s="493" t="s">
        <v>883</v>
      </c>
      <c r="F500" s="493" t="s">
        <v>1094</v>
      </c>
      <c r="G500" s="283" t="s">
        <v>1094</v>
      </c>
      <c r="H500" s="283" t="s">
        <v>1094</v>
      </c>
      <c r="I500" s="283" t="s">
        <v>1094</v>
      </c>
      <c r="J500" s="283" t="s">
        <v>1094</v>
      </c>
      <c r="K500" s="416">
        <v>2.1634615384615386E-3</v>
      </c>
      <c r="L500" s="493" t="s">
        <v>883</v>
      </c>
      <c r="M500" s="405" t="s">
        <v>1094</v>
      </c>
      <c r="N500" s="493" t="s">
        <v>883</v>
      </c>
      <c r="O500" s="405" t="s">
        <v>1094</v>
      </c>
      <c r="P500" s="405" t="s">
        <v>1094</v>
      </c>
      <c r="Q500" s="405" t="s">
        <v>1094</v>
      </c>
      <c r="R500" s="493" t="s">
        <v>883</v>
      </c>
      <c r="S500" s="405" t="s">
        <v>1094</v>
      </c>
      <c r="T500" s="405" t="s">
        <v>1094</v>
      </c>
      <c r="U500" s="493" t="s">
        <v>883</v>
      </c>
    </row>
    <row r="501" spans="1:21">
      <c r="A501" s="242" t="s">
        <v>853</v>
      </c>
      <c r="B501" s="281" t="s">
        <v>1306</v>
      </c>
      <c r="C501" s="121" t="s">
        <v>769</v>
      </c>
      <c r="D501" s="493" t="s">
        <v>883</v>
      </c>
      <c r="E501" s="493" t="s">
        <v>883</v>
      </c>
      <c r="F501" s="493" t="s">
        <v>1094</v>
      </c>
      <c r="G501" s="283" t="s">
        <v>1094</v>
      </c>
      <c r="H501" s="493" t="s">
        <v>1094</v>
      </c>
      <c r="I501" s="283" t="s">
        <v>1094</v>
      </c>
      <c r="J501" s="493" t="s">
        <v>883</v>
      </c>
      <c r="K501" s="416">
        <v>2.173913043478261E-4</v>
      </c>
      <c r="L501" s="493" t="s">
        <v>883</v>
      </c>
      <c r="M501" s="405" t="s">
        <v>1094</v>
      </c>
      <c r="N501" s="405" t="s">
        <v>1094</v>
      </c>
      <c r="O501" s="405" t="s">
        <v>1094</v>
      </c>
      <c r="P501" s="405" t="s">
        <v>1094</v>
      </c>
      <c r="Q501" s="405" t="s">
        <v>1094</v>
      </c>
      <c r="R501" s="493" t="s">
        <v>883</v>
      </c>
      <c r="S501" s="405" t="s">
        <v>1094</v>
      </c>
      <c r="T501" s="493" t="s">
        <v>883</v>
      </c>
      <c r="U501" s="493" t="s">
        <v>883</v>
      </c>
    </row>
    <row r="502" spans="1:21">
      <c r="A502" s="242" t="s">
        <v>853</v>
      </c>
      <c r="B502" s="282" t="s">
        <v>289</v>
      </c>
      <c r="C502" s="121" t="s">
        <v>621</v>
      </c>
      <c r="D502" s="493" t="s">
        <v>1094</v>
      </c>
      <c r="E502" s="493" t="s">
        <v>1094</v>
      </c>
      <c r="F502" s="493" t="s">
        <v>883</v>
      </c>
      <c r="G502" s="283" t="s">
        <v>883</v>
      </c>
      <c r="H502" s="283" t="s">
        <v>1094</v>
      </c>
      <c r="I502" s="493" t="s">
        <v>883</v>
      </c>
      <c r="J502" s="493" t="s">
        <v>1094</v>
      </c>
      <c r="K502" s="416">
        <v>3.3088235294117647E-3</v>
      </c>
      <c r="L502" s="493" t="s">
        <v>883</v>
      </c>
      <c r="M502" s="405" t="s">
        <v>1094</v>
      </c>
      <c r="N502" s="405" t="s">
        <v>1094</v>
      </c>
      <c r="O502" s="493" t="s">
        <v>883</v>
      </c>
      <c r="P502" s="405" t="s">
        <v>1094</v>
      </c>
      <c r="Q502" s="493" t="s">
        <v>883</v>
      </c>
      <c r="R502" s="405" t="s">
        <v>1094</v>
      </c>
      <c r="S502" s="405" t="s">
        <v>1094</v>
      </c>
      <c r="T502" s="405" t="s">
        <v>1094</v>
      </c>
      <c r="U502" s="493" t="s">
        <v>883</v>
      </c>
    </row>
    <row r="503" spans="1:21">
      <c r="A503" s="242" t="s">
        <v>853</v>
      </c>
      <c r="B503" s="282" t="s">
        <v>505</v>
      </c>
      <c r="C503" s="121" t="s">
        <v>664</v>
      </c>
      <c r="D503" s="493" t="s">
        <v>1094</v>
      </c>
      <c r="E503" s="493" t="s">
        <v>1094</v>
      </c>
      <c r="F503" s="493" t="s">
        <v>883</v>
      </c>
      <c r="G503" s="283" t="s">
        <v>1094</v>
      </c>
      <c r="H503" s="283" t="s">
        <v>1094</v>
      </c>
      <c r="I503" s="493" t="s">
        <v>883</v>
      </c>
      <c r="J503" s="493" t="s">
        <v>883</v>
      </c>
      <c r="K503" s="416">
        <v>4.3269230769230771E-4</v>
      </c>
      <c r="L503" s="493" t="s">
        <v>883</v>
      </c>
      <c r="M503" s="405" t="s">
        <v>1094</v>
      </c>
      <c r="N503" s="493" t="s">
        <v>883</v>
      </c>
      <c r="O503" s="405" t="s">
        <v>1094</v>
      </c>
      <c r="P503" s="493" t="s">
        <v>883</v>
      </c>
      <c r="Q503" s="405" t="s">
        <v>1094</v>
      </c>
      <c r="R503" s="493" t="s">
        <v>883</v>
      </c>
      <c r="S503" s="493" t="s">
        <v>883</v>
      </c>
      <c r="T503" s="493" t="s">
        <v>883</v>
      </c>
      <c r="U503" s="405" t="s">
        <v>1094</v>
      </c>
    </row>
    <row r="504" spans="1:21">
      <c r="A504" s="242" t="s">
        <v>853</v>
      </c>
      <c r="B504" s="282" t="s">
        <v>373</v>
      </c>
      <c r="C504" s="108" t="s">
        <v>240</v>
      </c>
      <c r="D504" s="493" t="s">
        <v>883</v>
      </c>
      <c r="E504" s="497" t="s">
        <v>1094</v>
      </c>
      <c r="F504" s="493" t="s">
        <v>883</v>
      </c>
      <c r="G504" s="493" t="s">
        <v>883</v>
      </c>
      <c r="H504" s="283" t="s">
        <v>1094</v>
      </c>
      <c r="I504" s="493" t="s">
        <v>883</v>
      </c>
      <c r="J504" s="283" t="s">
        <v>1094</v>
      </c>
      <c r="K504" s="416">
        <v>3.3217489967919879E-2</v>
      </c>
      <c r="L504" s="493" t="s">
        <v>883</v>
      </c>
      <c r="M504" s="405" t="s">
        <v>1094</v>
      </c>
      <c r="N504" s="405" t="s">
        <v>1094</v>
      </c>
      <c r="O504" s="405" t="s">
        <v>1094</v>
      </c>
      <c r="P504" s="405" t="s">
        <v>1094</v>
      </c>
      <c r="Q504" s="493" t="s">
        <v>883</v>
      </c>
      <c r="R504" s="493" t="s">
        <v>883</v>
      </c>
      <c r="S504" s="493" t="s">
        <v>883</v>
      </c>
      <c r="T504" s="493" t="s">
        <v>883</v>
      </c>
      <c r="U504" s="493" t="s">
        <v>883</v>
      </c>
    </row>
    <row r="505" spans="1:21">
      <c r="A505" s="242" t="s">
        <v>853</v>
      </c>
      <c r="B505" s="297" t="s">
        <v>1256</v>
      </c>
      <c r="C505" s="108" t="s">
        <v>227</v>
      </c>
      <c r="D505" s="502" t="s">
        <v>883</v>
      </c>
      <c r="E505" s="499" t="s">
        <v>1094</v>
      </c>
      <c r="F505" s="498" t="s">
        <v>883</v>
      </c>
      <c r="G505" s="414" t="s">
        <v>1094</v>
      </c>
      <c r="H505" s="414" t="s">
        <v>1094</v>
      </c>
      <c r="I505" s="492" t="s">
        <v>1094</v>
      </c>
      <c r="J505" s="493" t="s">
        <v>883</v>
      </c>
      <c r="K505" s="416">
        <v>5.6390977443609026E-4</v>
      </c>
      <c r="L505" s="493" t="s">
        <v>883</v>
      </c>
      <c r="M505" s="405" t="s">
        <v>1094</v>
      </c>
      <c r="N505" s="405" t="s">
        <v>1094</v>
      </c>
      <c r="O505" s="493" t="s">
        <v>883</v>
      </c>
      <c r="P505" s="493" t="s">
        <v>883</v>
      </c>
      <c r="Q505" s="493" t="s">
        <v>883</v>
      </c>
      <c r="R505" s="405" t="s">
        <v>1094</v>
      </c>
      <c r="S505" s="405" t="s">
        <v>1094</v>
      </c>
      <c r="T505" s="405" t="s">
        <v>1094</v>
      </c>
      <c r="U505" s="405" t="s">
        <v>1094</v>
      </c>
    </row>
    <row r="506" spans="1:21">
      <c r="A506" s="242" t="s">
        <v>853</v>
      </c>
      <c r="B506" s="282" t="s">
        <v>374</v>
      </c>
      <c r="C506" s="106" t="s">
        <v>790</v>
      </c>
      <c r="D506" s="491" t="s">
        <v>883</v>
      </c>
      <c r="E506" s="491" t="s">
        <v>1094</v>
      </c>
      <c r="F506" s="493" t="s">
        <v>883</v>
      </c>
      <c r="G506" s="283" t="s">
        <v>1094</v>
      </c>
      <c r="H506" s="283" t="s">
        <v>1094</v>
      </c>
      <c r="I506" s="493" t="s">
        <v>883</v>
      </c>
      <c r="J506" s="283" t="s">
        <v>883</v>
      </c>
      <c r="K506" s="416">
        <v>2.5111607142857144E-2</v>
      </c>
      <c r="L506" s="405" t="s">
        <v>1094</v>
      </c>
      <c r="M506" s="405" t="s">
        <v>1094</v>
      </c>
      <c r="N506" s="405" t="s">
        <v>1094</v>
      </c>
      <c r="O506" s="405" t="s">
        <v>1094</v>
      </c>
      <c r="P506" s="405" t="s">
        <v>1094</v>
      </c>
      <c r="Q506" s="405" t="s">
        <v>1094</v>
      </c>
      <c r="R506" s="405" t="s">
        <v>1094</v>
      </c>
      <c r="S506" s="405" t="s">
        <v>1094</v>
      </c>
      <c r="T506" s="405" t="s">
        <v>1094</v>
      </c>
      <c r="U506" s="405" t="s">
        <v>1094</v>
      </c>
    </row>
    <row r="507" spans="1:21">
      <c r="A507" s="242" t="s">
        <v>853</v>
      </c>
      <c r="B507" s="282" t="s">
        <v>375</v>
      </c>
      <c r="C507" s="121" t="s">
        <v>686</v>
      </c>
      <c r="D507" s="493" t="s">
        <v>883</v>
      </c>
      <c r="E507" s="493" t="s">
        <v>883</v>
      </c>
      <c r="F507" s="493" t="s">
        <v>1094</v>
      </c>
      <c r="G507" s="283" t="s">
        <v>1094</v>
      </c>
      <c r="H507" s="283" t="s">
        <v>1094</v>
      </c>
      <c r="I507" s="283" t="s">
        <v>1094</v>
      </c>
      <c r="J507" s="493" t="s">
        <v>883</v>
      </c>
      <c r="K507" s="416">
        <v>1.58125E-2</v>
      </c>
      <c r="L507" s="405" t="s">
        <v>1094</v>
      </c>
      <c r="M507" s="405" t="s">
        <v>1094</v>
      </c>
      <c r="N507" s="405" t="s">
        <v>1094</v>
      </c>
      <c r="O507" s="405" t="s">
        <v>1094</v>
      </c>
      <c r="P507" s="405" t="s">
        <v>1094</v>
      </c>
      <c r="Q507" s="405" t="s">
        <v>1094</v>
      </c>
      <c r="R507" s="405" t="s">
        <v>1094</v>
      </c>
      <c r="S507" s="405" t="s">
        <v>1094</v>
      </c>
      <c r="T507" s="405" t="s">
        <v>1094</v>
      </c>
      <c r="U507" s="405" t="s">
        <v>1094</v>
      </c>
    </row>
    <row r="508" spans="1:21">
      <c r="A508" s="242" t="s">
        <v>853</v>
      </c>
      <c r="B508" s="282" t="s">
        <v>376</v>
      </c>
      <c r="C508" s="121" t="s">
        <v>776</v>
      </c>
      <c r="D508" s="498" t="s">
        <v>883</v>
      </c>
      <c r="E508" s="492" t="s">
        <v>1094</v>
      </c>
      <c r="F508" s="493" t="s">
        <v>1094</v>
      </c>
      <c r="G508" s="283" t="s">
        <v>1094</v>
      </c>
      <c r="H508" s="493" t="s">
        <v>1094</v>
      </c>
      <c r="I508" s="493" t="s">
        <v>1094</v>
      </c>
      <c r="J508" s="493" t="s">
        <v>883</v>
      </c>
      <c r="K508" s="416">
        <v>1.3636363636363637E-3</v>
      </c>
      <c r="L508" s="493" t="s">
        <v>883</v>
      </c>
      <c r="M508" s="493" t="s">
        <v>883</v>
      </c>
      <c r="N508" s="493" t="s">
        <v>883</v>
      </c>
      <c r="O508" s="493" t="s">
        <v>883</v>
      </c>
      <c r="P508" s="493" t="s">
        <v>883</v>
      </c>
      <c r="Q508" s="405" t="s">
        <v>1094</v>
      </c>
      <c r="R508" s="493" t="s">
        <v>883</v>
      </c>
      <c r="S508" s="405" t="s">
        <v>1094</v>
      </c>
      <c r="T508" s="493" t="s">
        <v>883</v>
      </c>
      <c r="U508" s="493" t="s">
        <v>883</v>
      </c>
    </row>
    <row r="509" spans="1:21">
      <c r="A509" s="242" t="s">
        <v>853</v>
      </c>
      <c r="B509" s="282" t="s">
        <v>377</v>
      </c>
      <c r="C509" s="121" t="s">
        <v>699</v>
      </c>
      <c r="D509" s="493" t="s">
        <v>883</v>
      </c>
      <c r="E509" s="493" t="s">
        <v>883</v>
      </c>
      <c r="F509" s="493" t="s">
        <v>1094</v>
      </c>
      <c r="G509" s="283" t="s">
        <v>1094</v>
      </c>
      <c r="H509" s="283" t="s">
        <v>1094</v>
      </c>
      <c r="I509" s="283" t="s">
        <v>1094</v>
      </c>
      <c r="J509" s="493" t="s">
        <v>1094</v>
      </c>
      <c r="K509" s="416">
        <v>8.1521739130434775E-6</v>
      </c>
      <c r="L509" s="405" t="s">
        <v>1094</v>
      </c>
      <c r="M509" s="405" t="s">
        <v>1094</v>
      </c>
      <c r="N509" s="405" t="s">
        <v>1094</v>
      </c>
      <c r="O509" s="405" t="s">
        <v>1094</v>
      </c>
      <c r="P509" s="405" t="s">
        <v>1094</v>
      </c>
      <c r="Q509" s="405" t="s">
        <v>1094</v>
      </c>
      <c r="R509" s="405" t="s">
        <v>1094</v>
      </c>
      <c r="S509" s="405" t="s">
        <v>1094</v>
      </c>
      <c r="T509" s="405" t="s">
        <v>1094</v>
      </c>
      <c r="U509" s="405" t="s">
        <v>1094</v>
      </c>
    </row>
    <row r="510" spans="1:21">
      <c r="A510" s="242" t="s">
        <v>853</v>
      </c>
      <c r="B510" s="282" t="s">
        <v>378</v>
      </c>
      <c r="C510" s="122" t="s">
        <v>516</v>
      </c>
      <c r="D510" s="504" t="s">
        <v>1094</v>
      </c>
      <c r="E510" s="493" t="s">
        <v>883</v>
      </c>
      <c r="F510" s="493" t="s">
        <v>883</v>
      </c>
      <c r="G510" s="283" t="s">
        <v>1094</v>
      </c>
      <c r="H510" s="283" t="s">
        <v>1094</v>
      </c>
      <c r="I510" s="493" t="s">
        <v>883</v>
      </c>
      <c r="J510" s="283" t="s">
        <v>1094</v>
      </c>
      <c r="K510" s="416">
        <v>5.4545454545454548E-4</v>
      </c>
      <c r="L510" s="493" t="s">
        <v>883</v>
      </c>
      <c r="M510" s="405" t="s">
        <v>1094</v>
      </c>
      <c r="N510" s="493" t="s">
        <v>883</v>
      </c>
      <c r="O510" s="405" t="s">
        <v>1094</v>
      </c>
      <c r="P510" s="405" t="s">
        <v>1094</v>
      </c>
      <c r="Q510" s="493" t="s">
        <v>883</v>
      </c>
      <c r="R510" s="405" t="s">
        <v>1094</v>
      </c>
      <c r="S510" s="405" t="s">
        <v>1094</v>
      </c>
      <c r="T510" s="493" t="s">
        <v>883</v>
      </c>
      <c r="U510" s="493" t="s">
        <v>883</v>
      </c>
    </row>
    <row r="511" spans="1:21">
      <c r="A511" s="242" t="s">
        <v>853</v>
      </c>
      <c r="B511" s="297" t="s">
        <v>1257</v>
      </c>
      <c r="C511" s="121" t="s">
        <v>694</v>
      </c>
      <c r="D511" s="493" t="s">
        <v>883</v>
      </c>
      <c r="E511" s="493" t="s">
        <v>883</v>
      </c>
      <c r="F511" s="493" t="s">
        <v>1094</v>
      </c>
      <c r="G511" s="283" t="s">
        <v>1094</v>
      </c>
      <c r="H511" s="283" t="s">
        <v>1094</v>
      </c>
      <c r="I511" s="493" t="s">
        <v>1094</v>
      </c>
      <c r="J511" s="493" t="s">
        <v>883</v>
      </c>
      <c r="K511" s="416">
        <v>8.8888888888888893E-4</v>
      </c>
      <c r="L511" s="493" t="s">
        <v>883</v>
      </c>
      <c r="M511" s="405" t="s">
        <v>1094</v>
      </c>
      <c r="N511" s="405" t="s">
        <v>1094</v>
      </c>
      <c r="O511" s="405" t="s">
        <v>1094</v>
      </c>
      <c r="P511" s="405" t="s">
        <v>1094</v>
      </c>
      <c r="Q511" s="405" t="s">
        <v>1094</v>
      </c>
      <c r="R511" s="493" t="s">
        <v>883</v>
      </c>
      <c r="S511" s="405" t="s">
        <v>1094</v>
      </c>
      <c r="T511" s="493" t="s">
        <v>883</v>
      </c>
      <c r="U511" s="493" t="s">
        <v>883</v>
      </c>
    </row>
    <row r="512" spans="1:21">
      <c r="A512" s="242" t="s">
        <v>853</v>
      </c>
      <c r="B512" s="282" t="s">
        <v>379</v>
      </c>
      <c r="C512" s="121" t="s">
        <v>531</v>
      </c>
      <c r="D512" s="493" t="s">
        <v>883</v>
      </c>
      <c r="E512" s="493" t="s">
        <v>883</v>
      </c>
      <c r="F512" s="493" t="s">
        <v>1094</v>
      </c>
      <c r="G512" s="283" t="s">
        <v>1094</v>
      </c>
      <c r="H512" s="283" t="s">
        <v>1094</v>
      </c>
      <c r="I512" s="283" t="s">
        <v>1094</v>
      </c>
      <c r="J512" s="493" t="s">
        <v>883</v>
      </c>
      <c r="K512" s="416">
        <v>2.8409090909090908E-4</v>
      </c>
      <c r="L512" s="405" t="s">
        <v>1094</v>
      </c>
      <c r="M512" s="405" t="s">
        <v>1094</v>
      </c>
      <c r="N512" s="405" t="s">
        <v>1094</v>
      </c>
      <c r="O512" s="405" t="s">
        <v>1094</v>
      </c>
      <c r="P512" s="405" t="s">
        <v>1094</v>
      </c>
      <c r="Q512" s="405" t="s">
        <v>1094</v>
      </c>
      <c r="R512" s="405" t="s">
        <v>1094</v>
      </c>
      <c r="S512" s="405" t="s">
        <v>1094</v>
      </c>
      <c r="T512" s="405" t="s">
        <v>1094</v>
      </c>
      <c r="U512" s="405" t="s">
        <v>1094</v>
      </c>
    </row>
    <row r="513" spans="1:21">
      <c r="A513" s="242" t="s">
        <v>853</v>
      </c>
      <c r="B513" s="282" t="s">
        <v>380</v>
      </c>
      <c r="C513" s="106" t="s">
        <v>605</v>
      </c>
      <c r="D513" s="493" t="s">
        <v>883</v>
      </c>
      <c r="E513" s="491" t="s">
        <v>1094</v>
      </c>
      <c r="F513" s="491" t="s">
        <v>1094</v>
      </c>
      <c r="G513" s="283" t="s">
        <v>1094</v>
      </c>
      <c r="H513" s="493" t="s">
        <v>1094</v>
      </c>
      <c r="I513" s="283" t="s">
        <v>1094</v>
      </c>
      <c r="J513" s="493" t="s">
        <v>883</v>
      </c>
      <c r="K513" s="416">
        <v>3.5714285714285714E-4</v>
      </c>
      <c r="L513" s="405" t="s">
        <v>1094</v>
      </c>
      <c r="M513" s="405" t="s">
        <v>1094</v>
      </c>
      <c r="N513" s="405" t="s">
        <v>1094</v>
      </c>
      <c r="O513" s="405" t="s">
        <v>1094</v>
      </c>
      <c r="P513" s="405" t="s">
        <v>1094</v>
      </c>
      <c r="Q513" s="405" t="s">
        <v>1094</v>
      </c>
      <c r="R513" s="405" t="s">
        <v>1094</v>
      </c>
      <c r="S513" s="405" t="s">
        <v>1094</v>
      </c>
      <c r="T513" s="405" t="s">
        <v>1094</v>
      </c>
      <c r="U513" s="405" t="s">
        <v>1094</v>
      </c>
    </row>
    <row r="514" spans="1:21">
      <c r="A514" s="242" t="s">
        <v>853</v>
      </c>
      <c r="B514" s="282" t="s">
        <v>381</v>
      </c>
      <c r="C514" s="121" t="s">
        <v>651</v>
      </c>
      <c r="D514" s="493" t="s">
        <v>883</v>
      </c>
      <c r="E514" s="493" t="s">
        <v>1094</v>
      </c>
      <c r="F514" s="493" t="s">
        <v>1094</v>
      </c>
      <c r="G514" s="283" t="s">
        <v>1094</v>
      </c>
      <c r="H514" s="283" t="s">
        <v>1094</v>
      </c>
      <c r="I514" s="283" t="s">
        <v>1094</v>
      </c>
      <c r="J514" s="493" t="s">
        <v>883</v>
      </c>
      <c r="K514" s="416">
        <v>4.0178571428571428E-4</v>
      </c>
      <c r="L514" s="493" t="s">
        <v>883</v>
      </c>
      <c r="M514" s="405" t="s">
        <v>1094</v>
      </c>
      <c r="N514" s="405" t="s">
        <v>1094</v>
      </c>
      <c r="O514" s="493" t="s">
        <v>883</v>
      </c>
      <c r="P514" s="405" t="s">
        <v>1094</v>
      </c>
      <c r="Q514" s="405" t="s">
        <v>1094</v>
      </c>
      <c r="R514" s="493" t="s">
        <v>883</v>
      </c>
      <c r="S514" s="405" t="s">
        <v>1094</v>
      </c>
      <c r="T514" s="493" t="s">
        <v>883</v>
      </c>
      <c r="U514" s="493" t="s">
        <v>883</v>
      </c>
    </row>
    <row r="515" spans="1:21">
      <c r="A515" s="529" t="s">
        <v>853</v>
      </c>
      <c r="B515" s="530" t="s">
        <v>11233</v>
      </c>
      <c r="C515" s="552" t="s">
        <v>3308</v>
      </c>
      <c r="D515" s="547" t="s">
        <v>883</v>
      </c>
      <c r="E515" s="553" t="s">
        <v>883</v>
      </c>
      <c r="F515" s="547" t="s">
        <v>1094</v>
      </c>
      <c r="G515" s="548" t="s">
        <v>1094</v>
      </c>
      <c r="H515" s="548" t="s">
        <v>1094</v>
      </c>
      <c r="I515" s="547" t="s">
        <v>1094</v>
      </c>
      <c r="J515" s="547" t="s">
        <v>883</v>
      </c>
      <c r="K515" s="533">
        <v>1.2121212121212121E-4</v>
      </c>
      <c r="L515" s="547" t="s">
        <v>1094</v>
      </c>
      <c r="M515" s="533" t="s">
        <v>1094</v>
      </c>
      <c r="N515" s="547" t="s">
        <v>1094</v>
      </c>
      <c r="O515" s="533" t="s">
        <v>1094</v>
      </c>
      <c r="P515" s="547" t="s">
        <v>1094</v>
      </c>
      <c r="Q515" s="533" t="s">
        <v>1094</v>
      </c>
      <c r="R515" s="533" t="s">
        <v>1094</v>
      </c>
      <c r="S515" s="547" t="s">
        <v>1094</v>
      </c>
      <c r="T515" s="533" t="s">
        <v>1094</v>
      </c>
      <c r="U515" s="533" t="s">
        <v>1094</v>
      </c>
    </row>
    <row r="516" spans="1:21">
      <c r="A516" s="242" t="s">
        <v>853</v>
      </c>
      <c r="B516" s="282" t="s">
        <v>382</v>
      </c>
      <c r="C516" s="121" t="s">
        <v>643</v>
      </c>
      <c r="D516" s="493" t="s">
        <v>883</v>
      </c>
      <c r="E516" s="493" t="s">
        <v>883</v>
      </c>
      <c r="F516" s="493" t="s">
        <v>1094</v>
      </c>
      <c r="G516" s="283" t="s">
        <v>1094</v>
      </c>
      <c r="H516" s="493" t="s">
        <v>1094</v>
      </c>
      <c r="I516" s="493" t="s">
        <v>1094</v>
      </c>
      <c r="J516" s="493" t="s">
        <v>883</v>
      </c>
      <c r="K516" s="416">
        <v>3.1250000000000001E-4</v>
      </c>
      <c r="L516" s="493" t="s">
        <v>883</v>
      </c>
      <c r="M516" s="405" t="s">
        <v>1094</v>
      </c>
      <c r="N516" s="405" t="s">
        <v>1094</v>
      </c>
      <c r="O516" s="405" t="s">
        <v>1094</v>
      </c>
      <c r="P516" s="405" t="s">
        <v>1094</v>
      </c>
      <c r="Q516" s="405" t="s">
        <v>1094</v>
      </c>
      <c r="R516" s="405" t="s">
        <v>1094</v>
      </c>
      <c r="S516" s="405" t="s">
        <v>1094</v>
      </c>
      <c r="T516" s="405" t="s">
        <v>1094</v>
      </c>
      <c r="U516" s="405" t="s">
        <v>1094</v>
      </c>
    </row>
    <row r="517" spans="1:21">
      <c r="A517" s="242" t="s">
        <v>853</v>
      </c>
      <c r="B517" s="282" t="s">
        <v>383</v>
      </c>
      <c r="C517" s="121" t="s">
        <v>714</v>
      </c>
      <c r="D517" s="493" t="s">
        <v>883</v>
      </c>
      <c r="E517" s="493" t="s">
        <v>1094</v>
      </c>
      <c r="F517" s="493" t="s">
        <v>1094</v>
      </c>
      <c r="G517" s="283" t="s">
        <v>1094</v>
      </c>
      <c r="H517" s="283" t="s">
        <v>1094</v>
      </c>
      <c r="I517" s="283" t="s">
        <v>1094</v>
      </c>
      <c r="J517" s="493" t="s">
        <v>883</v>
      </c>
      <c r="K517" s="416">
        <v>1.3636363636363637E-3</v>
      </c>
      <c r="L517" s="493" t="s">
        <v>883</v>
      </c>
      <c r="M517" s="405" t="s">
        <v>1094</v>
      </c>
      <c r="N517" s="405" t="s">
        <v>1094</v>
      </c>
      <c r="O517" s="405" t="s">
        <v>1094</v>
      </c>
      <c r="P517" s="405" t="s">
        <v>1094</v>
      </c>
      <c r="Q517" s="493" t="s">
        <v>883</v>
      </c>
      <c r="R517" s="405" t="s">
        <v>1094</v>
      </c>
      <c r="S517" s="405" t="s">
        <v>1094</v>
      </c>
      <c r="T517" s="405" t="s">
        <v>1094</v>
      </c>
      <c r="U517" s="493" t="s">
        <v>883</v>
      </c>
    </row>
    <row r="518" spans="1:21">
      <c r="A518" s="242" t="s">
        <v>853</v>
      </c>
      <c r="B518" s="282" t="s">
        <v>1258</v>
      </c>
      <c r="C518" s="121" t="s">
        <v>681</v>
      </c>
      <c r="D518" s="493" t="s">
        <v>1094</v>
      </c>
      <c r="E518" s="493" t="s">
        <v>883</v>
      </c>
      <c r="F518" s="493" t="s">
        <v>883</v>
      </c>
      <c r="G518" s="283" t="s">
        <v>1094</v>
      </c>
      <c r="H518" s="283" t="s">
        <v>1094</v>
      </c>
      <c r="I518" s="493" t="s">
        <v>883</v>
      </c>
      <c r="J518" s="493" t="s">
        <v>883</v>
      </c>
      <c r="K518" s="416">
        <v>4.2857142857142859E-3</v>
      </c>
      <c r="L518" s="493" t="s">
        <v>883</v>
      </c>
      <c r="M518" s="493" t="s">
        <v>883</v>
      </c>
      <c r="N518" s="493" t="s">
        <v>883</v>
      </c>
      <c r="O518" s="493" t="s">
        <v>883</v>
      </c>
      <c r="P518" s="405" t="s">
        <v>1094</v>
      </c>
      <c r="Q518" s="493" t="s">
        <v>883</v>
      </c>
      <c r="R518" s="493" t="s">
        <v>883</v>
      </c>
      <c r="S518" s="493" t="s">
        <v>883</v>
      </c>
      <c r="T518" s="493" t="s">
        <v>883</v>
      </c>
      <c r="U518" s="493" t="s">
        <v>883</v>
      </c>
    </row>
    <row r="519" spans="1:21">
      <c r="A519" s="242" t="s">
        <v>853</v>
      </c>
      <c r="B519" s="297" t="s">
        <v>1259</v>
      </c>
      <c r="C519" s="121" t="s">
        <v>667</v>
      </c>
      <c r="D519" s="493" t="s">
        <v>1094</v>
      </c>
      <c r="E519" s="493" t="s">
        <v>1094</v>
      </c>
      <c r="F519" s="493" t="s">
        <v>883</v>
      </c>
      <c r="G519" s="283" t="s">
        <v>1094</v>
      </c>
      <c r="H519" s="283" t="s">
        <v>1094</v>
      </c>
      <c r="I519" s="493" t="s">
        <v>883</v>
      </c>
      <c r="J519" s="493" t="s">
        <v>883</v>
      </c>
      <c r="K519" s="416">
        <v>5.9523809523809529E-4</v>
      </c>
      <c r="L519" s="405" t="s">
        <v>1094</v>
      </c>
      <c r="M519" s="405" t="s">
        <v>1094</v>
      </c>
      <c r="N519" s="405" t="s">
        <v>1094</v>
      </c>
      <c r="O519" s="405" t="s">
        <v>1094</v>
      </c>
      <c r="P519" s="405" t="s">
        <v>1094</v>
      </c>
      <c r="Q519" s="405" t="s">
        <v>1094</v>
      </c>
      <c r="R519" s="405" t="s">
        <v>1094</v>
      </c>
      <c r="S519" s="405" t="s">
        <v>1094</v>
      </c>
      <c r="T519" s="405" t="s">
        <v>1094</v>
      </c>
      <c r="U519" s="405" t="s">
        <v>1094</v>
      </c>
    </row>
    <row r="520" spans="1:21">
      <c r="A520" s="242" t="s">
        <v>853</v>
      </c>
      <c r="B520" s="282" t="s">
        <v>384</v>
      </c>
      <c r="C520" s="108" t="s">
        <v>233</v>
      </c>
      <c r="D520" s="497" t="s">
        <v>1094</v>
      </c>
      <c r="E520" s="493" t="s">
        <v>1094</v>
      </c>
      <c r="F520" s="493" t="s">
        <v>883</v>
      </c>
      <c r="G520" s="283" t="s">
        <v>1094</v>
      </c>
      <c r="H520" s="283" t="s">
        <v>1094</v>
      </c>
      <c r="I520" s="493" t="s">
        <v>883</v>
      </c>
      <c r="J520" s="493" t="s">
        <v>1094</v>
      </c>
      <c r="K520" s="416">
        <v>5.2083333333333337E-5</v>
      </c>
      <c r="L520" s="493" t="s">
        <v>883</v>
      </c>
      <c r="M520" s="405" t="s">
        <v>1094</v>
      </c>
      <c r="N520" s="405" t="s">
        <v>1094</v>
      </c>
      <c r="O520" s="493" t="s">
        <v>883</v>
      </c>
      <c r="P520" s="405" t="s">
        <v>1094</v>
      </c>
      <c r="Q520" s="493" t="s">
        <v>883</v>
      </c>
      <c r="R520" s="405" t="s">
        <v>1094</v>
      </c>
      <c r="S520" s="405" t="s">
        <v>1094</v>
      </c>
      <c r="T520" s="493" t="s">
        <v>883</v>
      </c>
      <c r="U520" s="493" t="s">
        <v>883</v>
      </c>
    </row>
    <row r="521" spans="1:21">
      <c r="A521" s="242" t="s">
        <v>853</v>
      </c>
      <c r="B521" s="282" t="s">
        <v>385</v>
      </c>
      <c r="C521" s="121" t="s">
        <v>640</v>
      </c>
      <c r="D521" s="493" t="s">
        <v>1094</v>
      </c>
      <c r="E521" s="493" t="s">
        <v>1094</v>
      </c>
      <c r="F521" s="493" t="s">
        <v>883</v>
      </c>
      <c r="G521" s="283" t="s">
        <v>1094</v>
      </c>
      <c r="H521" s="283" t="s">
        <v>1094</v>
      </c>
      <c r="I521" s="493" t="s">
        <v>883</v>
      </c>
      <c r="J521" s="493" t="s">
        <v>883</v>
      </c>
      <c r="K521" s="416">
        <v>1.0817307692307693E-3</v>
      </c>
      <c r="L521" s="405" t="s">
        <v>1094</v>
      </c>
      <c r="M521" s="405" t="s">
        <v>1094</v>
      </c>
      <c r="N521" s="405" t="s">
        <v>1094</v>
      </c>
      <c r="O521" s="405" t="s">
        <v>1094</v>
      </c>
      <c r="P521" s="405" t="s">
        <v>1094</v>
      </c>
      <c r="Q521" s="405" t="s">
        <v>1094</v>
      </c>
      <c r="R521" s="405" t="s">
        <v>1094</v>
      </c>
      <c r="S521" s="405" t="s">
        <v>1094</v>
      </c>
      <c r="T521" s="405" t="s">
        <v>1094</v>
      </c>
      <c r="U521" s="405" t="s">
        <v>1094</v>
      </c>
    </row>
    <row r="522" spans="1:21">
      <c r="A522" s="242" t="s">
        <v>853</v>
      </c>
      <c r="B522" s="282" t="s">
        <v>386</v>
      </c>
      <c r="C522" s="121" t="s">
        <v>739</v>
      </c>
      <c r="D522" s="498" t="s">
        <v>883</v>
      </c>
      <c r="E522" s="492" t="s">
        <v>1094</v>
      </c>
      <c r="F522" s="492" t="s">
        <v>1094</v>
      </c>
      <c r="G522" s="283" t="s">
        <v>1094</v>
      </c>
      <c r="H522" s="283" t="s">
        <v>1094</v>
      </c>
      <c r="I522" s="493" t="s">
        <v>883</v>
      </c>
      <c r="J522" s="493" t="s">
        <v>883</v>
      </c>
      <c r="K522" s="416">
        <v>3.605769230769231E-3</v>
      </c>
      <c r="L522" s="493" t="s">
        <v>883</v>
      </c>
      <c r="M522" s="405" t="s">
        <v>1094</v>
      </c>
      <c r="N522" s="405" t="s">
        <v>1094</v>
      </c>
      <c r="O522" s="405" t="s">
        <v>1094</v>
      </c>
      <c r="P522" s="405" t="s">
        <v>1094</v>
      </c>
      <c r="Q522" s="405" t="s">
        <v>1094</v>
      </c>
      <c r="R522" s="405" t="s">
        <v>1094</v>
      </c>
      <c r="S522" s="405" t="s">
        <v>1094</v>
      </c>
      <c r="T522" s="405" t="s">
        <v>1094</v>
      </c>
      <c r="U522" s="405" t="s">
        <v>1094</v>
      </c>
    </row>
    <row r="523" spans="1:21">
      <c r="A523" s="242" t="s">
        <v>853</v>
      </c>
      <c r="B523" s="282" t="s">
        <v>387</v>
      </c>
      <c r="C523" s="121" t="s">
        <v>1077</v>
      </c>
      <c r="D523" s="493" t="s">
        <v>1094</v>
      </c>
      <c r="E523" s="493" t="s">
        <v>1094</v>
      </c>
      <c r="F523" s="493" t="s">
        <v>883</v>
      </c>
      <c r="G523" s="283" t="s">
        <v>1094</v>
      </c>
      <c r="H523" s="283" t="s">
        <v>1094</v>
      </c>
      <c r="I523" s="493" t="s">
        <v>883</v>
      </c>
      <c r="J523" s="493" t="s">
        <v>1094</v>
      </c>
      <c r="K523" s="416">
        <v>1.3392857142857144E-4</v>
      </c>
      <c r="L523" s="405" t="s">
        <v>1094</v>
      </c>
      <c r="M523" s="405" t="s">
        <v>1094</v>
      </c>
      <c r="N523" s="405" t="s">
        <v>1094</v>
      </c>
      <c r="O523" s="405" t="s">
        <v>1094</v>
      </c>
      <c r="P523" s="405" t="s">
        <v>1094</v>
      </c>
      <c r="Q523" s="493" t="s">
        <v>883</v>
      </c>
      <c r="R523" s="405" t="s">
        <v>1094</v>
      </c>
      <c r="S523" s="405" t="s">
        <v>1094</v>
      </c>
      <c r="T523" s="405" t="s">
        <v>1094</v>
      </c>
      <c r="U523" s="405" t="s">
        <v>1094</v>
      </c>
    </row>
    <row r="524" spans="1:21">
      <c r="A524" s="242" t="s">
        <v>853</v>
      </c>
      <c r="B524" s="282" t="s">
        <v>388</v>
      </c>
      <c r="C524" s="106" t="s">
        <v>800</v>
      </c>
      <c r="D524" s="491" t="s">
        <v>883</v>
      </c>
      <c r="E524" s="491" t="s">
        <v>1094</v>
      </c>
      <c r="F524" s="493" t="s">
        <v>883</v>
      </c>
      <c r="G524" s="283" t="s">
        <v>1094</v>
      </c>
      <c r="H524" s="283" t="s">
        <v>1094</v>
      </c>
      <c r="I524" s="493" t="s">
        <v>883</v>
      </c>
      <c r="J524" s="493" t="s">
        <v>1094</v>
      </c>
      <c r="K524" s="416">
        <v>1.5625000000000001E-3</v>
      </c>
      <c r="L524" s="493" t="s">
        <v>883</v>
      </c>
      <c r="M524" s="405" t="s">
        <v>1094</v>
      </c>
      <c r="N524" s="405" t="s">
        <v>1094</v>
      </c>
      <c r="O524" s="493" t="s">
        <v>883</v>
      </c>
      <c r="P524" s="493" t="s">
        <v>883</v>
      </c>
      <c r="Q524" s="493" t="s">
        <v>883</v>
      </c>
      <c r="R524" s="405" t="s">
        <v>1094</v>
      </c>
      <c r="S524" s="405" t="s">
        <v>1094</v>
      </c>
      <c r="T524" s="405" t="s">
        <v>1094</v>
      </c>
      <c r="U524" s="405" t="s">
        <v>1094</v>
      </c>
    </row>
    <row r="525" spans="1:21">
      <c r="A525" s="242" t="s">
        <v>853</v>
      </c>
      <c r="B525" s="282" t="s">
        <v>389</v>
      </c>
      <c r="C525" s="121" t="s">
        <v>675</v>
      </c>
      <c r="D525" s="493" t="s">
        <v>883</v>
      </c>
      <c r="E525" s="493" t="s">
        <v>1094</v>
      </c>
      <c r="F525" s="493" t="s">
        <v>1094</v>
      </c>
      <c r="G525" s="283" t="s">
        <v>883</v>
      </c>
      <c r="H525" s="283" t="s">
        <v>1094</v>
      </c>
      <c r="I525" s="493" t="s">
        <v>883</v>
      </c>
      <c r="J525" s="283" t="s">
        <v>1094</v>
      </c>
      <c r="K525" s="416">
        <v>1.7578125E-2</v>
      </c>
      <c r="L525" s="405" t="s">
        <v>1094</v>
      </c>
      <c r="M525" s="405" t="s">
        <v>1094</v>
      </c>
      <c r="N525" s="405" t="s">
        <v>1094</v>
      </c>
      <c r="O525" s="405" t="s">
        <v>1094</v>
      </c>
      <c r="P525" s="405" t="s">
        <v>1094</v>
      </c>
      <c r="Q525" s="405" t="s">
        <v>1094</v>
      </c>
      <c r="R525" s="405" t="s">
        <v>1094</v>
      </c>
      <c r="S525" s="405" t="s">
        <v>1094</v>
      </c>
      <c r="T525" s="405" t="s">
        <v>1094</v>
      </c>
      <c r="U525" s="405" t="s">
        <v>1094</v>
      </c>
    </row>
    <row r="526" spans="1:21">
      <c r="A526" s="242" t="s">
        <v>853</v>
      </c>
      <c r="B526" s="282" t="s">
        <v>390</v>
      </c>
      <c r="C526" s="122" t="s">
        <v>517</v>
      </c>
      <c r="D526" s="504" t="s">
        <v>1094</v>
      </c>
      <c r="E526" s="504" t="s">
        <v>883</v>
      </c>
      <c r="F526" s="493" t="s">
        <v>883</v>
      </c>
      <c r="G526" s="283" t="s">
        <v>1094</v>
      </c>
      <c r="H526" s="283" t="s">
        <v>1094</v>
      </c>
      <c r="I526" s="493" t="s">
        <v>883</v>
      </c>
      <c r="J526" s="283" t="s">
        <v>1094</v>
      </c>
      <c r="K526" s="416">
        <v>6.6964285714285711E-3</v>
      </c>
      <c r="L526" s="405" t="s">
        <v>1094</v>
      </c>
      <c r="M526" s="405" t="s">
        <v>1094</v>
      </c>
      <c r="N526" s="405" t="s">
        <v>1094</v>
      </c>
      <c r="O526" s="405" t="s">
        <v>1094</v>
      </c>
      <c r="P526" s="405" t="s">
        <v>1094</v>
      </c>
      <c r="Q526" s="405" t="s">
        <v>1094</v>
      </c>
      <c r="R526" s="405" t="s">
        <v>1094</v>
      </c>
      <c r="S526" s="405" t="s">
        <v>1094</v>
      </c>
      <c r="T526" s="405" t="s">
        <v>1094</v>
      </c>
      <c r="U526" s="405" t="s">
        <v>1094</v>
      </c>
    </row>
    <row r="527" spans="1:21">
      <c r="A527" s="242" t="s">
        <v>853</v>
      </c>
      <c r="B527" s="281" t="s">
        <v>1308</v>
      </c>
      <c r="C527" s="121" t="s">
        <v>637</v>
      </c>
      <c r="D527" s="493" t="s">
        <v>1094</v>
      </c>
      <c r="E527" s="493" t="s">
        <v>1094</v>
      </c>
      <c r="F527" s="493" t="s">
        <v>883</v>
      </c>
      <c r="G527" s="493" t="s">
        <v>883</v>
      </c>
      <c r="H527" s="283" t="s">
        <v>1094</v>
      </c>
      <c r="I527" s="493" t="s">
        <v>883</v>
      </c>
      <c r="J527" s="283" t="s">
        <v>1094</v>
      </c>
      <c r="K527" s="416">
        <v>1.6326530612244899E-2</v>
      </c>
      <c r="L527" s="493" t="s">
        <v>883</v>
      </c>
      <c r="M527" s="405" t="s">
        <v>1094</v>
      </c>
      <c r="N527" s="493" t="s">
        <v>883</v>
      </c>
      <c r="O527" s="405" t="s">
        <v>1094</v>
      </c>
      <c r="P527" s="405" t="s">
        <v>1094</v>
      </c>
      <c r="Q527" s="405" t="s">
        <v>1094</v>
      </c>
      <c r="R527" s="405" t="s">
        <v>1094</v>
      </c>
      <c r="S527" s="405" t="s">
        <v>1094</v>
      </c>
      <c r="T527" s="405" t="s">
        <v>1094</v>
      </c>
      <c r="U527" s="493" t="s">
        <v>883</v>
      </c>
    </row>
    <row r="528" spans="1:21">
      <c r="A528" s="242" t="s">
        <v>853</v>
      </c>
      <c r="B528" s="282" t="s">
        <v>391</v>
      </c>
      <c r="C528" s="121" t="s">
        <v>882</v>
      </c>
      <c r="D528" s="493" t="s">
        <v>1094</v>
      </c>
      <c r="E528" s="493" t="s">
        <v>1094</v>
      </c>
      <c r="F528" s="493" t="s">
        <v>883</v>
      </c>
      <c r="G528" s="283" t="s">
        <v>1094</v>
      </c>
      <c r="H528" s="283" t="s">
        <v>1094</v>
      </c>
      <c r="I528" s="493" t="s">
        <v>883</v>
      </c>
      <c r="J528" s="493" t="s">
        <v>883</v>
      </c>
      <c r="K528" s="416">
        <v>5.7870370370370367E-4</v>
      </c>
      <c r="L528" s="405" t="s">
        <v>1094</v>
      </c>
      <c r="M528" s="405" t="s">
        <v>1094</v>
      </c>
      <c r="N528" s="405" t="s">
        <v>1094</v>
      </c>
      <c r="O528" s="405" t="s">
        <v>1094</v>
      </c>
      <c r="P528" s="405" t="s">
        <v>1094</v>
      </c>
      <c r="Q528" s="405" t="s">
        <v>1094</v>
      </c>
      <c r="R528" s="405" t="s">
        <v>1094</v>
      </c>
      <c r="S528" s="405" t="s">
        <v>1094</v>
      </c>
      <c r="T528" s="405" t="s">
        <v>1094</v>
      </c>
      <c r="U528" s="405" t="s">
        <v>1094</v>
      </c>
    </row>
    <row r="529" spans="1:21">
      <c r="A529" s="242" t="s">
        <v>853</v>
      </c>
      <c r="B529" s="281" t="s">
        <v>1296</v>
      </c>
      <c r="C529" s="108" t="s">
        <v>242</v>
      </c>
      <c r="D529" s="493" t="s">
        <v>883</v>
      </c>
      <c r="E529" s="497" t="s">
        <v>883</v>
      </c>
      <c r="F529" s="497" t="s">
        <v>1094</v>
      </c>
      <c r="G529" s="493" t="s">
        <v>1094</v>
      </c>
      <c r="H529" s="283" t="s">
        <v>1094</v>
      </c>
      <c r="I529" s="283" t="s">
        <v>1094</v>
      </c>
      <c r="J529" s="493" t="s">
        <v>883</v>
      </c>
      <c r="K529" s="416">
        <v>2.8846153846153849E-4</v>
      </c>
      <c r="L529" s="405" t="s">
        <v>1094</v>
      </c>
      <c r="M529" s="405" t="s">
        <v>1094</v>
      </c>
      <c r="N529" s="405" t="s">
        <v>1094</v>
      </c>
      <c r="O529" s="405" t="s">
        <v>1094</v>
      </c>
      <c r="P529" s="405" t="s">
        <v>1094</v>
      </c>
      <c r="Q529" s="405" t="s">
        <v>1094</v>
      </c>
      <c r="R529" s="405" t="s">
        <v>1094</v>
      </c>
      <c r="S529" s="405" t="s">
        <v>1094</v>
      </c>
      <c r="T529" s="405" t="s">
        <v>1094</v>
      </c>
      <c r="U529" s="405" t="s">
        <v>1094</v>
      </c>
    </row>
    <row r="530" spans="1:21">
      <c r="A530" s="242" t="s">
        <v>853</v>
      </c>
      <c r="B530" s="297" t="s">
        <v>1260</v>
      </c>
      <c r="C530" s="121" t="s">
        <v>551</v>
      </c>
      <c r="D530" s="493" t="s">
        <v>883</v>
      </c>
      <c r="E530" s="493" t="s">
        <v>883</v>
      </c>
      <c r="F530" s="493" t="s">
        <v>1094</v>
      </c>
      <c r="G530" s="493" t="s">
        <v>883</v>
      </c>
      <c r="H530" s="493" t="s">
        <v>883</v>
      </c>
      <c r="I530" s="283" t="s">
        <v>1094</v>
      </c>
      <c r="J530" s="493" t="s">
        <v>883</v>
      </c>
      <c r="K530" s="416">
        <v>1.8028846153846152E-2</v>
      </c>
      <c r="L530" s="405" t="s">
        <v>1094</v>
      </c>
      <c r="M530" s="405" t="s">
        <v>1094</v>
      </c>
      <c r="N530" s="405" t="s">
        <v>1094</v>
      </c>
      <c r="O530" s="405" t="s">
        <v>1094</v>
      </c>
      <c r="P530" s="405" t="s">
        <v>1094</v>
      </c>
      <c r="Q530" s="405" t="s">
        <v>1094</v>
      </c>
      <c r="R530" s="405" t="s">
        <v>1094</v>
      </c>
      <c r="S530" s="405" t="s">
        <v>1094</v>
      </c>
      <c r="T530" s="405" t="s">
        <v>1094</v>
      </c>
      <c r="U530" s="405" t="s">
        <v>1094</v>
      </c>
    </row>
    <row r="531" spans="1:21">
      <c r="A531" s="242" t="s">
        <v>853</v>
      </c>
      <c r="B531" s="282" t="s">
        <v>506</v>
      </c>
      <c r="C531" s="121" t="s">
        <v>742</v>
      </c>
      <c r="D531" s="493" t="s">
        <v>1094</v>
      </c>
      <c r="E531" s="493" t="s">
        <v>883</v>
      </c>
      <c r="F531" s="493" t="s">
        <v>883</v>
      </c>
      <c r="G531" s="283" t="s">
        <v>1094</v>
      </c>
      <c r="H531" s="283" t="s">
        <v>1094</v>
      </c>
      <c r="I531" s="493" t="s">
        <v>883</v>
      </c>
      <c r="J531" s="493" t="s">
        <v>883</v>
      </c>
      <c r="K531" s="416">
        <v>2.3053278688524591E-4</v>
      </c>
      <c r="L531" s="493" t="s">
        <v>883</v>
      </c>
      <c r="M531" s="405" t="s">
        <v>1094</v>
      </c>
      <c r="N531" s="405" t="s">
        <v>1094</v>
      </c>
      <c r="O531" s="493" t="s">
        <v>883</v>
      </c>
      <c r="P531" s="493" t="s">
        <v>883</v>
      </c>
      <c r="Q531" s="405" t="s">
        <v>1094</v>
      </c>
      <c r="R531" s="493" t="s">
        <v>883</v>
      </c>
      <c r="S531" s="493" t="s">
        <v>883</v>
      </c>
      <c r="T531" s="405" t="s">
        <v>1094</v>
      </c>
      <c r="U531" s="405" t="s">
        <v>1094</v>
      </c>
    </row>
    <row r="532" spans="1:21">
      <c r="A532" s="242" t="s">
        <v>853</v>
      </c>
      <c r="B532" s="297" t="s">
        <v>1315</v>
      </c>
      <c r="C532" s="121" t="s">
        <v>635</v>
      </c>
      <c r="D532" s="493" t="s">
        <v>883</v>
      </c>
      <c r="E532" s="493" t="s">
        <v>1094</v>
      </c>
      <c r="F532" s="493" t="s">
        <v>883</v>
      </c>
      <c r="G532" s="493" t="s">
        <v>883</v>
      </c>
      <c r="H532" s="283" t="s">
        <v>1094</v>
      </c>
      <c r="I532" s="493" t="s">
        <v>883</v>
      </c>
      <c r="J532" s="283" t="s">
        <v>1094</v>
      </c>
      <c r="K532" s="416">
        <v>5.9523809523809521E-2</v>
      </c>
      <c r="L532" s="405" t="s">
        <v>1094</v>
      </c>
      <c r="M532" s="405" t="s">
        <v>1094</v>
      </c>
      <c r="N532" s="405" t="s">
        <v>1094</v>
      </c>
      <c r="O532" s="405" t="s">
        <v>1094</v>
      </c>
      <c r="P532" s="405" t="s">
        <v>1094</v>
      </c>
      <c r="Q532" s="405" t="s">
        <v>1094</v>
      </c>
      <c r="R532" s="405" t="s">
        <v>1094</v>
      </c>
      <c r="S532" s="405" t="s">
        <v>1094</v>
      </c>
      <c r="T532" s="405" t="s">
        <v>1094</v>
      </c>
      <c r="U532" s="405" t="s">
        <v>1094</v>
      </c>
    </row>
    <row r="533" spans="1:21">
      <c r="A533" s="242" t="s">
        <v>853</v>
      </c>
      <c r="B533" s="282" t="s">
        <v>392</v>
      </c>
      <c r="C533" s="106" t="s">
        <v>802</v>
      </c>
      <c r="D533" s="493" t="s">
        <v>883</v>
      </c>
      <c r="E533" s="491" t="s">
        <v>1094</v>
      </c>
      <c r="F533" s="493" t="s">
        <v>883</v>
      </c>
      <c r="G533" s="493" t="s">
        <v>883</v>
      </c>
      <c r="H533" s="283" t="s">
        <v>1094</v>
      </c>
      <c r="I533" s="493" t="s">
        <v>883</v>
      </c>
      <c r="J533" s="283" t="s">
        <v>1094</v>
      </c>
      <c r="K533" s="416">
        <v>0.02</v>
      </c>
      <c r="L533" s="493" t="s">
        <v>883</v>
      </c>
      <c r="M533" s="493" t="s">
        <v>883</v>
      </c>
      <c r="N533" s="493" t="s">
        <v>883</v>
      </c>
      <c r="O533" s="493" t="s">
        <v>883</v>
      </c>
      <c r="P533" s="405" t="s">
        <v>1094</v>
      </c>
      <c r="Q533" s="493" t="s">
        <v>883</v>
      </c>
      <c r="R533" s="493" t="s">
        <v>883</v>
      </c>
      <c r="S533" s="493" t="s">
        <v>883</v>
      </c>
      <c r="T533" s="493" t="s">
        <v>883</v>
      </c>
      <c r="U533" s="493" t="s">
        <v>883</v>
      </c>
    </row>
    <row r="534" spans="1:21">
      <c r="A534" s="242" t="s">
        <v>853</v>
      </c>
      <c r="B534" s="282" t="s">
        <v>393</v>
      </c>
      <c r="C534" s="121" t="s">
        <v>684</v>
      </c>
      <c r="D534" s="493" t="s">
        <v>883</v>
      </c>
      <c r="E534" s="493" t="s">
        <v>1094</v>
      </c>
      <c r="F534" s="493" t="s">
        <v>1094</v>
      </c>
      <c r="G534" s="283" t="s">
        <v>1094</v>
      </c>
      <c r="H534" s="283" t="s">
        <v>1094</v>
      </c>
      <c r="I534" s="493" t="s">
        <v>883</v>
      </c>
      <c r="J534" s="493" t="s">
        <v>883</v>
      </c>
      <c r="K534" s="416">
        <v>6.8181818181818187E-4</v>
      </c>
      <c r="L534" s="405" t="s">
        <v>1094</v>
      </c>
      <c r="M534" s="405" t="s">
        <v>1094</v>
      </c>
      <c r="N534" s="405" t="s">
        <v>1094</v>
      </c>
      <c r="O534" s="405" t="s">
        <v>1094</v>
      </c>
      <c r="P534" s="405" t="s">
        <v>1094</v>
      </c>
      <c r="Q534" s="405" t="s">
        <v>1094</v>
      </c>
      <c r="R534" s="405" t="s">
        <v>1094</v>
      </c>
      <c r="S534" s="405" t="s">
        <v>1094</v>
      </c>
      <c r="T534" s="405" t="s">
        <v>1094</v>
      </c>
      <c r="U534" s="405" t="s">
        <v>1094</v>
      </c>
    </row>
    <row r="535" spans="1:21">
      <c r="A535" s="242" t="s">
        <v>853</v>
      </c>
      <c r="B535" s="297" t="s">
        <v>1261</v>
      </c>
      <c r="C535" s="121" t="s">
        <v>1073</v>
      </c>
      <c r="D535" s="493" t="s">
        <v>1094</v>
      </c>
      <c r="E535" s="493" t="s">
        <v>1094</v>
      </c>
      <c r="F535" s="493" t="s">
        <v>883</v>
      </c>
      <c r="G535" s="283" t="s">
        <v>1094</v>
      </c>
      <c r="H535" s="283" t="s">
        <v>1094</v>
      </c>
      <c r="I535" s="493" t="s">
        <v>883</v>
      </c>
      <c r="J535" s="493" t="s">
        <v>883</v>
      </c>
      <c r="K535" s="416">
        <v>1.0416666666666667E-3</v>
      </c>
      <c r="L535" s="405" t="s">
        <v>1094</v>
      </c>
      <c r="M535" s="405" t="s">
        <v>1094</v>
      </c>
      <c r="N535" s="405" t="s">
        <v>1094</v>
      </c>
      <c r="O535" s="405" t="s">
        <v>1094</v>
      </c>
      <c r="P535" s="405" t="s">
        <v>1094</v>
      </c>
      <c r="Q535" s="405" t="s">
        <v>1094</v>
      </c>
      <c r="R535" s="405" t="s">
        <v>1094</v>
      </c>
      <c r="S535" s="405" t="s">
        <v>1094</v>
      </c>
      <c r="T535" s="405" t="s">
        <v>1094</v>
      </c>
      <c r="U535" s="405" t="s">
        <v>1094</v>
      </c>
    </row>
    <row r="536" spans="1:21">
      <c r="A536" s="242" t="s">
        <v>853</v>
      </c>
      <c r="B536" s="282" t="s">
        <v>394</v>
      </c>
      <c r="C536" s="121" t="s">
        <v>731</v>
      </c>
      <c r="D536" s="493" t="s">
        <v>1094</v>
      </c>
      <c r="E536" s="493" t="s">
        <v>883</v>
      </c>
      <c r="F536" s="493" t="s">
        <v>883</v>
      </c>
      <c r="G536" s="283" t="s">
        <v>1094</v>
      </c>
      <c r="H536" s="283" t="s">
        <v>1094</v>
      </c>
      <c r="I536" s="493" t="s">
        <v>883</v>
      </c>
      <c r="J536" s="493" t="s">
        <v>883</v>
      </c>
      <c r="K536" s="416">
        <v>1.0810810810810811E-3</v>
      </c>
      <c r="L536" s="493" t="s">
        <v>883</v>
      </c>
      <c r="M536" s="405" t="s">
        <v>1094</v>
      </c>
      <c r="N536" s="493" t="s">
        <v>883</v>
      </c>
      <c r="O536" s="405" t="s">
        <v>1094</v>
      </c>
      <c r="P536" s="405" t="s">
        <v>1094</v>
      </c>
      <c r="Q536" s="405" t="s">
        <v>1094</v>
      </c>
      <c r="R536" s="493" t="s">
        <v>883</v>
      </c>
      <c r="S536" s="493" t="s">
        <v>883</v>
      </c>
      <c r="T536" s="493" t="s">
        <v>883</v>
      </c>
      <c r="U536" s="493" t="s">
        <v>883</v>
      </c>
    </row>
    <row r="537" spans="1:21">
      <c r="A537" s="242" t="s">
        <v>853</v>
      </c>
      <c r="B537" s="282" t="s">
        <v>395</v>
      </c>
      <c r="C537" s="121" t="s">
        <v>721</v>
      </c>
      <c r="D537" s="493" t="s">
        <v>1094</v>
      </c>
      <c r="E537" s="493" t="s">
        <v>1094</v>
      </c>
      <c r="F537" s="493" t="s">
        <v>883</v>
      </c>
      <c r="G537" s="283" t="s">
        <v>1094</v>
      </c>
      <c r="H537" s="283" t="s">
        <v>1094</v>
      </c>
      <c r="I537" s="493" t="s">
        <v>883</v>
      </c>
      <c r="J537" s="493" t="s">
        <v>883</v>
      </c>
      <c r="K537" s="416">
        <v>3.4782608695652171E-5</v>
      </c>
      <c r="L537" s="493" t="s">
        <v>883</v>
      </c>
      <c r="M537" s="405" t="s">
        <v>1094</v>
      </c>
      <c r="N537" s="405" t="s">
        <v>1094</v>
      </c>
      <c r="O537" s="405" t="s">
        <v>1094</v>
      </c>
      <c r="P537" s="405" t="s">
        <v>1094</v>
      </c>
      <c r="Q537" s="405" t="s">
        <v>1094</v>
      </c>
      <c r="R537" s="405" t="s">
        <v>1094</v>
      </c>
      <c r="S537" s="405" t="s">
        <v>1094</v>
      </c>
      <c r="T537" s="405" t="s">
        <v>1094</v>
      </c>
      <c r="U537" s="405" t="s">
        <v>1094</v>
      </c>
    </row>
    <row r="538" spans="1:21">
      <c r="A538" s="242" t="s">
        <v>853</v>
      </c>
      <c r="B538" s="297" t="s">
        <v>1262</v>
      </c>
      <c r="C538" s="121" t="s">
        <v>626</v>
      </c>
      <c r="D538" s="493" t="s">
        <v>1094</v>
      </c>
      <c r="E538" s="493" t="s">
        <v>1094</v>
      </c>
      <c r="F538" s="493" t="s">
        <v>883</v>
      </c>
      <c r="G538" s="283" t="s">
        <v>1094</v>
      </c>
      <c r="H538" s="283" t="s">
        <v>1094</v>
      </c>
      <c r="I538" s="493" t="s">
        <v>883</v>
      </c>
      <c r="J538" s="493" t="s">
        <v>883</v>
      </c>
      <c r="K538" s="416">
        <v>7.4999999999999997E-3</v>
      </c>
      <c r="L538" s="405" t="s">
        <v>1094</v>
      </c>
      <c r="M538" s="405" t="s">
        <v>1094</v>
      </c>
      <c r="N538" s="405" t="s">
        <v>1094</v>
      </c>
      <c r="O538" s="405" t="s">
        <v>1094</v>
      </c>
      <c r="P538" s="405" t="s">
        <v>1094</v>
      </c>
      <c r="Q538" s="405" t="s">
        <v>1094</v>
      </c>
      <c r="R538" s="405" t="s">
        <v>1094</v>
      </c>
      <c r="S538" s="405" t="s">
        <v>1094</v>
      </c>
      <c r="T538" s="405" t="s">
        <v>1094</v>
      </c>
      <c r="U538" s="405" t="s">
        <v>1094</v>
      </c>
    </row>
    <row r="539" spans="1:21">
      <c r="A539" s="242" t="s">
        <v>853</v>
      </c>
      <c r="B539" s="282" t="s">
        <v>396</v>
      </c>
      <c r="C539" s="121" t="s">
        <v>630</v>
      </c>
      <c r="D539" s="493" t="s">
        <v>883</v>
      </c>
      <c r="E539" s="493" t="s">
        <v>1094</v>
      </c>
      <c r="F539" s="493" t="s">
        <v>883</v>
      </c>
      <c r="G539" s="313" t="s">
        <v>1094</v>
      </c>
      <c r="H539" s="493" t="s">
        <v>883</v>
      </c>
      <c r="I539" s="493" t="s">
        <v>883</v>
      </c>
      <c r="J539" s="493" t="s">
        <v>883</v>
      </c>
      <c r="K539" s="416">
        <v>7.894736842105263E-4</v>
      </c>
      <c r="L539" s="493" t="s">
        <v>883</v>
      </c>
      <c r="M539" s="405" t="s">
        <v>1094</v>
      </c>
      <c r="N539" s="493" t="s">
        <v>883</v>
      </c>
      <c r="O539" s="493" t="s">
        <v>883</v>
      </c>
      <c r="P539" s="493" t="s">
        <v>883</v>
      </c>
      <c r="Q539" s="405" t="s">
        <v>1094</v>
      </c>
      <c r="R539" s="405" t="s">
        <v>1094</v>
      </c>
      <c r="S539" s="405" t="s">
        <v>1094</v>
      </c>
      <c r="T539" s="493" t="s">
        <v>883</v>
      </c>
      <c r="U539" s="493" t="s">
        <v>883</v>
      </c>
    </row>
    <row r="540" spans="1:21">
      <c r="A540" s="242" t="s">
        <v>853</v>
      </c>
      <c r="B540" s="282" t="s">
        <v>397</v>
      </c>
      <c r="C540" s="121" t="s">
        <v>632</v>
      </c>
      <c r="D540" s="493" t="s">
        <v>1094</v>
      </c>
      <c r="E540" s="493" t="s">
        <v>883</v>
      </c>
      <c r="F540" s="493" t="s">
        <v>883</v>
      </c>
      <c r="G540" s="283" t="s">
        <v>1094</v>
      </c>
      <c r="H540" s="283" t="s">
        <v>1094</v>
      </c>
      <c r="I540" s="493" t="s">
        <v>883</v>
      </c>
      <c r="J540" s="493" t="s">
        <v>883</v>
      </c>
      <c r="K540" s="416">
        <v>2.0833333333333333E-3</v>
      </c>
      <c r="L540" s="405" t="s">
        <v>1094</v>
      </c>
      <c r="M540" s="405" t="s">
        <v>1094</v>
      </c>
      <c r="N540" s="405" t="s">
        <v>1094</v>
      </c>
      <c r="O540" s="405" t="s">
        <v>1094</v>
      </c>
      <c r="P540" s="405" t="s">
        <v>1094</v>
      </c>
      <c r="Q540" s="405" t="s">
        <v>1094</v>
      </c>
      <c r="R540" s="405" t="s">
        <v>1094</v>
      </c>
      <c r="S540" s="405" t="s">
        <v>1094</v>
      </c>
      <c r="T540" s="405" t="s">
        <v>1094</v>
      </c>
      <c r="U540" s="405" t="s">
        <v>1094</v>
      </c>
    </row>
    <row r="541" spans="1:21">
      <c r="A541" s="242" t="s">
        <v>853</v>
      </c>
      <c r="B541" s="282" t="s">
        <v>398</v>
      </c>
      <c r="C541" s="106" t="s">
        <v>805</v>
      </c>
      <c r="D541" s="493" t="s">
        <v>883</v>
      </c>
      <c r="E541" s="491" t="s">
        <v>1094</v>
      </c>
      <c r="F541" s="493" t="s">
        <v>883</v>
      </c>
      <c r="G541" s="283" t="s">
        <v>1094</v>
      </c>
      <c r="H541" s="493" t="s">
        <v>883</v>
      </c>
      <c r="I541" s="493" t="s">
        <v>883</v>
      </c>
      <c r="J541" s="493" t="s">
        <v>883</v>
      </c>
      <c r="K541" s="416">
        <v>1.4055555555555556E-2</v>
      </c>
      <c r="L541" s="493" t="s">
        <v>883</v>
      </c>
      <c r="M541" s="405" t="s">
        <v>1094</v>
      </c>
      <c r="N541" s="493" t="s">
        <v>883</v>
      </c>
      <c r="O541" s="405" t="s">
        <v>1094</v>
      </c>
      <c r="P541" s="493" t="s">
        <v>883</v>
      </c>
      <c r="Q541" s="405" t="s">
        <v>1094</v>
      </c>
      <c r="R541" s="405" t="s">
        <v>1094</v>
      </c>
      <c r="S541" s="493" t="s">
        <v>883</v>
      </c>
      <c r="T541" s="405" t="s">
        <v>1094</v>
      </c>
      <c r="U541" s="405" t="s">
        <v>1094</v>
      </c>
    </row>
    <row r="542" spans="1:21">
      <c r="A542" s="242" t="s">
        <v>853</v>
      </c>
      <c r="B542" s="282" t="s">
        <v>399</v>
      </c>
      <c r="C542" s="121" t="s">
        <v>633</v>
      </c>
      <c r="D542" s="493" t="s">
        <v>1094</v>
      </c>
      <c r="E542" s="493" t="s">
        <v>1094</v>
      </c>
      <c r="F542" s="493" t="s">
        <v>883</v>
      </c>
      <c r="G542" s="283" t="s">
        <v>1094</v>
      </c>
      <c r="H542" s="493" t="s">
        <v>883</v>
      </c>
      <c r="I542" s="493" t="s">
        <v>883</v>
      </c>
      <c r="J542" s="493" t="s">
        <v>883</v>
      </c>
      <c r="K542" s="416">
        <v>6.6964285714285715E-4</v>
      </c>
      <c r="L542" s="405" t="s">
        <v>1094</v>
      </c>
      <c r="M542" s="405" t="s">
        <v>1094</v>
      </c>
      <c r="N542" s="405" t="s">
        <v>1094</v>
      </c>
      <c r="O542" s="405" t="s">
        <v>1094</v>
      </c>
      <c r="P542" s="405" t="s">
        <v>1094</v>
      </c>
      <c r="Q542" s="405" t="s">
        <v>1094</v>
      </c>
      <c r="R542" s="405" t="s">
        <v>1094</v>
      </c>
      <c r="S542" s="405" t="s">
        <v>1094</v>
      </c>
      <c r="T542" s="405" t="s">
        <v>1094</v>
      </c>
      <c r="U542" s="405" t="s">
        <v>1094</v>
      </c>
    </row>
    <row r="543" spans="1:21">
      <c r="A543" s="242" t="s">
        <v>853</v>
      </c>
      <c r="B543" s="282" t="s">
        <v>400</v>
      </c>
      <c r="C543" s="121" t="s">
        <v>720</v>
      </c>
      <c r="D543" s="493" t="s">
        <v>1094</v>
      </c>
      <c r="E543" s="493" t="s">
        <v>1094</v>
      </c>
      <c r="F543" s="493" t="s">
        <v>883</v>
      </c>
      <c r="G543" s="283" t="s">
        <v>1094</v>
      </c>
      <c r="H543" s="283" t="s">
        <v>1094</v>
      </c>
      <c r="I543" s="493" t="s">
        <v>883</v>
      </c>
      <c r="J543" s="493" t="s">
        <v>883</v>
      </c>
      <c r="K543" s="416">
        <v>7.0312500000000002E-3</v>
      </c>
      <c r="L543" s="493" t="s">
        <v>883</v>
      </c>
      <c r="M543" s="405" t="s">
        <v>1094</v>
      </c>
      <c r="N543" s="493" t="s">
        <v>883</v>
      </c>
      <c r="O543" s="493" t="s">
        <v>883</v>
      </c>
      <c r="P543" s="405" t="s">
        <v>1094</v>
      </c>
      <c r="Q543" s="493" t="s">
        <v>883</v>
      </c>
      <c r="R543" s="405" t="s">
        <v>1094</v>
      </c>
      <c r="S543" s="493" t="s">
        <v>883</v>
      </c>
      <c r="T543" s="493" t="s">
        <v>883</v>
      </c>
      <c r="U543" s="493" t="s">
        <v>883</v>
      </c>
    </row>
    <row r="544" spans="1:21">
      <c r="A544" s="242" t="s">
        <v>853</v>
      </c>
      <c r="B544" s="282" t="s">
        <v>401</v>
      </c>
      <c r="C544" s="108" t="s">
        <v>239</v>
      </c>
      <c r="D544" s="497" t="s">
        <v>1094</v>
      </c>
      <c r="E544" s="497" t="s">
        <v>1094</v>
      </c>
      <c r="F544" s="493" t="s">
        <v>883</v>
      </c>
      <c r="G544" s="283" t="s">
        <v>1094</v>
      </c>
      <c r="H544" s="283" t="s">
        <v>1094</v>
      </c>
      <c r="I544" s="493" t="s">
        <v>883</v>
      </c>
      <c r="J544" s="493" t="s">
        <v>883</v>
      </c>
      <c r="K544" s="416">
        <v>3.9473684210526317E-3</v>
      </c>
      <c r="L544" s="405" t="s">
        <v>1094</v>
      </c>
      <c r="M544" s="405" t="s">
        <v>1094</v>
      </c>
      <c r="N544" s="405" t="s">
        <v>1094</v>
      </c>
      <c r="O544" s="405" t="s">
        <v>1094</v>
      </c>
      <c r="P544" s="405" t="s">
        <v>1094</v>
      </c>
      <c r="Q544" s="405" t="s">
        <v>1094</v>
      </c>
      <c r="R544" s="405" t="s">
        <v>1094</v>
      </c>
      <c r="S544" s="405" t="s">
        <v>1094</v>
      </c>
      <c r="T544" s="405" t="s">
        <v>1094</v>
      </c>
      <c r="U544" s="405" t="s">
        <v>1094</v>
      </c>
    </row>
    <row r="545" spans="1:21">
      <c r="A545" s="242" t="s">
        <v>853</v>
      </c>
      <c r="B545" s="282" t="s">
        <v>402</v>
      </c>
      <c r="C545" s="121" t="s">
        <v>751</v>
      </c>
      <c r="D545" s="493" t="s">
        <v>1094</v>
      </c>
      <c r="E545" s="493" t="s">
        <v>1094</v>
      </c>
      <c r="F545" s="493" t="s">
        <v>883</v>
      </c>
      <c r="G545" s="283" t="s">
        <v>1094</v>
      </c>
      <c r="H545" s="283" t="s">
        <v>1094</v>
      </c>
      <c r="I545" s="493" t="s">
        <v>883</v>
      </c>
      <c r="J545" s="493" t="s">
        <v>1094</v>
      </c>
      <c r="K545" s="416">
        <v>4.0000000000000001E-3</v>
      </c>
      <c r="L545" s="405" t="s">
        <v>1094</v>
      </c>
      <c r="M545" s="405" t="s">
        <v>1094</v>
      </c>
      <c r="N545" s="405" t="s">
        <v>1094</v>
      </c>
      <c r="O545" s="405" t="s">
        <v>1094</v>
      </c>
      <c r="P545" s="405" t="s">
        <v>1094</v>
      </c>
      <c r="Q545" s="405" t="s">
        <v>1094</v>
      </c>
      <c r="R545" s="405" t="s">
        <v>1094</v>
      </c>
      <c r="S545" s="405" t="s">
        <v>1094</v>
      </c>
      <c r="T545" s="405" t="s">
        <v>1094</v>
      </c>
      <c r="U545" s="405" t="s">
        <v>1094</v>
      </c>
    </row>
    <row r="546" spans="1:21">
      <c r="A546" s="242" t="s">
        <v>853</v>
      </c>
      <c r="B546" s="282" t="s">
        <v>403</v>
      </c>
      <c r="C546" s="108" t="s">
        <v>253</v>
      </c>
      <c r="D546" s="499" t="s">
        <v>1094</v>
      </c>
      <c r="E546" s="499" t="s">
        <v>1094</v>
      </c>
      <c r="F546" s="492" t="s">
        <v>1094</v>
      </c>
      <c r="G546" s="283" t="s">
        <v>1094</v>
      </c>
      <c r="H546" s="283" t="s">
        <v>1094</v>
      </c>
      <c r="I546" s="493" t="s">
        <v>883</v>
      </c>
      <c r="J546" s="493" t="s">
        <v>883</v>
      </c>
      <c r="K546" s="416">
        <v>1.8749999999999999E-2</v>
      </c>
      <c r="L546" s="493" t="s">
        <v>883</v>
      </c>
      <c r="M546" s="405" t="s">
        <v>1094</v>
      </c>
      <c r="N546" s="405" t="s">
        <v>1094</v>
      </c>
      <c r="O546" s="493" t="s">
        <v>883</v>
      </c>
      <c r="P546" s="405" t="s">
        <v>1094</v>
      </c>
      <c r="Q546" s="493" t="s">
        <v>883</v>
      </c>
      <c r="R546" s="493" t="s">
        <v>883</v>
      </c>
      <c r="S546" s="493" t="s">
        <v>883</v>
      </c>
      <c r="T546" s="493" t="s">
        <v>883</v>
      </c>
      <c r="U546" s="493" t="s">
        <v>883</v>
      </c>
    </row>
    <row r="547" spans="1:21">
      <c r="A547" s="242" t="s">
        <v>853</v>
      </c>
      <c r="B547" s="282" t="s">
        <v>404</v>
      </c>
      <c r="C547" s="121" t="s">
        <v>659</v>
      </c>
      <c r="D547" s="493" t="s">
        <v>1094</v>
      </c>
      <c r="E547" s="493" t="s">
        <v>1094</v>
      </c>
      <c r="F547" s="493" t="s">
        <v>883</v>
      </c>
      <c r="G547" s="283" t="s">
        <v>1094</v>
      </c>
      <c r="H547" s="283" t="s">
        <v>1094</v>
      </c>
      <c r="I547" s="493" t="s">
        <v>883</v>
      </c>
      <c r="J547" s="493" t="s">
        <v>883</v>
      </c>
      <c r="K547" s="416">
        <v>6.9444444444444447E-4</v>
      </c>
      <c r="L547" s="493" t="s">
        <v>883</v>
      </c>
      <c r="M547" s="493" t="s">
        <v>883</v>
      </c>
      <c r="N547" s="493" t="s">
        <v>883</v>
      </c>
      <c r="O547" s="493" t="s">
        <v>883</v>
      </c>
      <c r="P547" s="416" t="s">
        <v>1094</v>
      </c>
      <c r="Q547" s="416" t="s">
        <v>1094</v>
      </c>
      <c r="R547" s="493" t="s">
        <v>883</v>
      </c>
      <c r="S547" s="493" t="s">
        <v>883</v>
      </c>
      <c r="T547" s="493" t="s">
        <v>883</v>
      </c>
      <c r="U547" s="493" t="s">
        <v>883</v>
      </c>
    </row>
    <row r="548" spans="1:21">
      <c r="A548" s="242" t="s">
        <v>853</v>
      </c>
      <c r="B548" s="282" t="s">
        <v>405</v>
      </c>
      <c r="C548" s="121" t="s">
        <v>533</v>
      </c>
      <c r="D548" s="493" t="s">
        <v>1094</v>
      </c>
      <c r="E548" s="493" t="s">
        <v>883</v>
      </c>
      <c r="F548" s="493" t="s">
        <v>883</v>
      </c>
      <c r="G548" s="283" t="s">
        <v>1094</v>
      </c>
      <c r="H548" s="283" t="s">
        <v>1094</v>
      </c>
      <c r="I548" s="493" t="s">
        <v>883</v>
      </c>
      <c r="J548" s="493" t="s">
        <v>883</v>
      </c>
      <c r="K548" s="416">
        <v>4.6874999999999998E-3</v>
      </c>
      <c r="L548" s="405" t="s">
        <v>1094</v>
      </c>
      <c r="M548" s="405" t="s">
        <v>1094</v>
      </c>
      <c r="N548" s="405" t="s">
        <v>1094</v>
      </c>
      <c r="O548" s="405" t="s">
        <v>1094</v>
      </c>
      <c r="P548" s="405" t="s">
        <v>1094</v>
      </c>
      <c r="Q548" s="405" t="s">
        <v>1094</v>
      </c>
      <c r="R548" s="405" t="s">
        <v>1094</v>
      </c>
      <c r="S548" s="405" t="s">
        <v>1094</v>
      </c>
      <c r="T548" s="405" t="s">
        <v>1094</v>
      </c>
      <c r="U548" s="405" t="s">
        <v>1094</v>
      </c>
    </row>
    <row r="549" spans="1:21">
      <c r="A549" s="242" t="s">
        <v>853</v>
      </c>
      <c r="B549" s="282" t="s">
        <v>406</v>
      </c>
      <c r="C549" s="121" t="s">
        <v>778</v>
      </c>
      <c r="D549" s="493" t="s">
        <v>1094</v>
      </c>
      <c r="E549" s="493" t="s">
        <v>1094</v>
      </c>
      <c r="F549" s="493" t="s">
        <v>883</v>
      </c>
      <c r="G549" s="283" t="s">
        <v>1094</v>
      </c>
      <c r="H549" s="283" t="s">
        <v>1094</v>
      </c>
      <c r="I549" s="493" t="s">
        <v>883</v>
      </c>
      <c r="J549" s="493" t="s">
        <v>883</v>
      </c>
      <c r="K549" s="416">
        <v>1.6741071428571428E-3</v>
      </c>
      <c r="L549" s="405" t="s">
        <v>1094</v>
      </c>
      <c r="M549" s="405" t="s">
        <v>1094</v>
      </c>
      <c r="N549" s="405" t="s">
        <v>1094</v>
      </c>
      <c r="O549" s="405" t="s">
        <v>1094</v>
      </c>
      <c r="P549" s="405" t="s">
        <v>1094</v>
      </c>
      <c r="Q549" s="405" t="s">
        <v>1094</v>
      </c>
      <c r="R549" s="405" t="s">
        <v>1094</v>
      </c>
      <c r="S549" s="405" t="s">
        <v>1094</v>
      </c>
      <c r="T549" s="405" t="s">
        <v>1094</v>
      </c>
      <c r="U549" s="405" t="s">
        <v>1094</v>
      </c>
    </row>
    <row r="550" spans="1:21">
      <c r="A550" s="242" t="s">
        <v>853</v>
      </c>
      <c r="B550" s="282" t="s">
        <v>407</v>
      </c>
      <c r="C550" s="121" t="s">
        <v>641</v>
      </c>
      <c r="D550" s="493" t="s">
        <v>1094</v>
      </c>
      <c r="E550" s="493" t="s">
        <v>1094</v>
      </c>
      <c r="F550" s="493" t="s">
        <v>883</v>
      </c>
      <c r="G550" s="283" t="s">
        <v>1094</v>
      </c>
      <c r="H550" s="283" t="s">
        <v>1094</v>
      </c>
      <c r="I550" s="493" t="s">
        <v>883</v>
      </c>
      <c r="J550" s="493" t="s">
        <v>883</v>
      </c>
      <c r="K550" s="416">
        <v>4.2613636363636362E-4</v>
      </c>
      <c r="L550" s="493" t="s">
        <v>883</v>
      </c>
      <c r="M550" s="405" t="s">
        <v>1094</v>
      </c>
      <c r="N550" s="493" t="s">
        <v>883</v>
      </c>
      <c r="O550" s="493" t="s">
        <v>883</v>
      </c>
      <c r="P550" s="493" t="s">
        <v>883</v>
      </c>
      <c r="Q550" s="493" t="s">
        <v>883</v>
      </c>
      <c r="R550" s="405" t="s">
        <v>1094</v>
      </c>
      <c r="S550" s="405" t="s">
        <v>1094</v>
      </c>
      <c r="T550" s="493" t="s">
        <v>883</v>
      </c>
      <c r="U550" s="493" t="s">
        <v>883</v>
      </c>
    </row>
    <row r="551" spans="1:21">
      <c r="A551" s="242" t="s">
        <v>853</v>
      </c>
      <c r="B551" s="282" t="s">
        <v>408</v>
      </c>
      <c r="C551" s="106" t="s">
        <v>788</v>
      </c>
      <c r="D551" s="491" t="s">
        <v>883</v>
      </c>
      <c r="E551" s="493" t="s">
        <v>1094</v>
      </c>
      <c r="F551" s="493" t="s">
        <v>883</v>
      </c>
      <c r="G551" s="493" t="s">
        <v>883</v>
      </c>
      <c r="H551" s="283" t="s">
        <v>1094</v>
      </c>
      <c r="I551" s="493" t="s">
        <v>883</v>
      </c>
      <c r="J551" s="283" t="s">
        <v>1094</v>
      </c>
      <c r="K551" s="416">
        <v>5.0403225806451613E-5</v>
      </c>
      <c r="L551" s="493" t="s">
        <v>883</v>
      </c>
      <c r="M551" s="405" t="s">
        <v>1094</v>
      </c>
      <c r="N551" s="405" t="s">
        <v>1094</v>
      </c>
      <c r="O551" s="405" t="s">
        <v>1094</v>
      </c>
      <c r="P551" s="405" t="s">
        <v>1094</v>
      </c>
      <c r="Q551" s="493" t="s">
        <v>883</v>
      </c>
      <c r="R551" s="405" t="s">
        <v>1094</v>
      </c>
      <c r="S551" s="405" t="s">
        <v>1094</v>
      </c>
      <c r="T551" s="493" t="s">
        <v>883</v>
      </c>
      <c r="U551" s="493" t="s">
        <v>883</v>
      </c>
    </row>
    <row r="552" spans="1:21">
      <c r="A552" s="242" t="s">
        <v>853</v>
      </c>
      <c r="B552" s="297" t="s">
        <v>1263</v>
      </c>
      <c r="C552" s="121" t="s">
        <v>763</v>
      </c>
      <c r="D552" s="493" t="s">
        <v>883</v>
      </c>
      <c r="E552" s="493" t="s">
        <v>883</v>
      </c>
      <c r="F552" s="493" t="s">
        <v>1094</v>
      </c>
      <c r="G552" s="283" t="s">
        <v>1094</v>
      </c>
      <c r="H552" s="283" t="s">
        <v>1094</v>
      </c>
      <c r="I552" s="283" t="s">
        <v>1094</v>
      </c>
      <c r="J552" s="493" t="s">
        <v>1094</v>
      </c>
      <c r="K552" s="416">
        <v>1.7045454545454545E-3</v>
      </c>
      <c r="L552" s="405" t="s">
        <v>1094</v>
      </c>
      <c r="M552" s="405" t="s">
        <v>1094</v>
      </c>
      <c r="N552" s="405" t="s">
        <v>1094</v>
      </c>
      <c r="O552" s="405" t="s">
        <v>1094</v>
      </c>
      <c r="P552" s="405" t="s">
        <v>1094</v>
      </c>
      <c r="Q552" s="405" t="s">
        <v>1094</v>
      </c>
      <c r="R552" s="405" t="s">
        <v>1094</v>
      </c>
      <c r="S552" s="405" t="s">
        <v>1094</v>
      </c>
      <c r="T552" s="405" t="s">
        <v>1094</v>
      </c>
      <c r="U552" s="405" t="s">
        <v>1094</v>
      </c>
    </row>
    <row r="553" spans="1:21">
      <c r="A553" s="242" t="s">
        <v>853</v>
      </c>
      <c r="B553" s="282" t="s">
        <v>409</v>
      </c>
      <c r="C553" s="106" t="s">
        <v>804</v>
      </c>
      <c r="D553" s="491" t="s">
        <v>1094</v>
      </c>
      <c r="E553" s="491" t="s">
        <v>1094</v>
      </c>
      <c r="F553" s="493" t="s">
        <v>883</v>
      </c>
      <c r="G553" s="283" t="s">
        <v>1094</v>
      </c>
      <c r="H553" s="283" t="s">
        <v>1094</v>
      </c>
      <c r="I553" s="493" t="s">
        <v>883</v>
      </c>
      <c r="J553" s="493" t="s">
        <v>1094</v>
      </c>
      <c r="K553" s="416">
        <v>2.6354166666666668E-2</v>
      </c>
      <c r="L553" s="405" t="s">
        <v>1094</v>
      </c>
      <c r="M553" s="405" t="s">
        <v>1094</v>
      </c>
      <c r="N553" s="405" t="s">
        <v>1094</v>
      </c>
      <c r="O553" s="405" t="s">
        <v>1094</v>
      </c>
      <c r="P553" s="405" t="s">
        <v>1094</v>
      </c>
      <c r="Q553" s="405" t="s">
        <v>1094</v>
      </c>
      <c r="R553" s="405" t="s">
        <v>1094</v>
      </c>
      <c r="S553" s="405" t="s">
        <v>1094</v>
      </c>
      <c r="T553" s="405" t="s">
        <v>1094</v>
      </c>
      <c r="U553" s="405" t="s">
        <v>1094</v>
      </c>
    </row>
    <row r="554" spans="1:21">
      <c r="A554" s="242" t="s">
        <v>853</v>
      </c>
      <c r="B554" s="282" t="s">
        <v>410</v>
      </c>
      <c r="C554" s="106" t="s">
        <v>611</v>
      </c>
      <c r="D554" s="491" t="s">
        <v>1094</v>
      </c>
      <c r="E554" s="493" t="s">
        <v>1094</v>
      </c>
      <c r="F554" s="493" t="s">
        <v>883</v>
      </c>
      <c r="G554" s="283" t="s">
        <v>1094</v>
      </c>
      <c r="H554" s="493" t="s">
        <v>1094</v>
      </c>
      <c r="I554" s="493" t="s">
        <v>883</v>
      </c>
      <c r="J554" s="493" t="s">
        <v>883</v>
      </c>
      <c r="K554" s="416">
        <v>8.9285714285714281E-3</v>
      </c>
      <c r="L554" s="493" t="s">
        <v>883</v>
      </c>
      <c r="M554" s="405" t="s">
        <v>1094</v>
      </c>
      <c r="N554" s="493" t="s">
        <v>883</v>
      </c>
      <c r="O554" s="493" t="s">
        <v>883</v>
      </c>
      <c r="P554" s="493" t="s">
        <v>883</v>
      </c>
      <c r="Q554" s="405" t="s">
        <v>1094</v>
      </c>
      <c r="R554" s="405" t="s">
        <v>1094</v>
      </c>
      <c r="S554" s="405" t="s">
        <v>1094</v>
      </c>
      <c r="T554" s="405" t="s">
        <v>1094</v>
      </c>
      <c r="U554" s="493" t="s">
        <v>883</v>
      </c>
    </row>
    <row r="555" spans="1:21">
      <c r="A555" s="242" t="s">
        <v>853</v>
      </c>
      <c r="B555" s="282" t="s">
        <v>411</v>
      </c>
      <c r="C555" s="108" t="s">
        <v>236</v>
      </c>
      <c r="D555" s="497" t="s">
        <v>1094</v>
      </c>
      <c r="E555" s="499" t="s">
        <v>1094</v>
      </c>
      <c r="F555" s="493" t="s">
        <v>883</v>
      </c>
      <c r="G555" s="283" t="s">
        <v>1094</v>
      </c>
      <c r="H555" s="283" t="s">
        <v>1094</v>
      </c>
      <c r="I555" s="493" t="s">
        <v>883</v>
      </c>
      <c r="J555" s="493" t="s">
        <v>883</v>
      </c>
      <c r="K555" s="416">
        <v>1.5625E-4</v>
      </c>
      <c r="L555" s="405" t="s">
        <v>1094</v>
      </c>
      <c r="M555" s="405" t="s">
        <v>1094</v>
      </c>
      <c r="N555" s="405" t="s">
        <v>1094</v>
      </c>
      <c r="O555" s="405" t="s">
        <v>1094</v>
      </c>
      <c r="P555" s="405" t="s">
        <v>1094</v>
      </c>
      <c r="Q555" s="405" t="s">
        <v>1094</v>
      </c>
      <c r="R555" s="405" t="s">
        <v>1094</v>
      </c>
      <c r="S555" s="405" t="s">
        <v>1094</v>
      </c>
      <c r="T555" s="405" t="s">
        <v>1094</v>
      </c>
      <c r="U555" s="405" t="s">
        <v>1094</v>
      </c>
    </row>
    <row r="556" spans="1:21">
      <c r="A556" s="242" t="s">
        <v>853</v>
      </c>
      <c r="B556" s="281" t="s">
        <v>1294</v>
      </c>
      <c r="C556" s="121" t="s">
        <v>725</v>
      </c>
      <c r="D556" s="498" t="s">
        <v>1094</v>
      </c>
      <c r="E556" s="498" t="s">
        <v>1094</v>
      </c>
      <c r="F556" s="498" t="s">
        <v>1094</v>
      </c>
      <c r="G556" s="283" t="s">
        <v>1094</v>
      </c>
      <c r="H556" s="493" t="s">
        <v>883</v>
      </c>
      <c r="I556" s="493" t="s">
        <v>883</v>
      </c>
      <c r="J556" s="493" t="s">
        <v>883</v>
      </c>
      <c r="K556" s="416">
        <v>2E-3</v>
      </c>
      <c r="L556" s="405" t="s">
        <v>1094</v>
      </c>
      <c r="M556" s="405" t="s">
        <v>1094</v>
      </c>
      <c r="N556" s="405" t="s">
        <v>1094</v>
      </c>
      <c r="O556" s="405" t="s">
        <v>1094</v>
      </c>
      <c r="P556" s="405" t="s">
        <v>1094</v>
      </c>
      <c r="Q556" s="405" t="s">
        <v>1094</v>
      </c>
      <c r="R556" s="405" t="s">
        <v>1094</v>
      </c>
      <c r="S556" s="405" t="s">
        <v>1094</v>
      </c>
      <c r="T556" s="405" t="s">
        <v>1094</v>
      </c>
      <c r="U556" s="405" t="s">
        <v>1094</v>
      </c>
    </row>
    <row r="557" spans="1:21">
      <c r="A557" s="242" t="s">
        <v>853</v>
      </c>
      <c r="B557" s="282" t="s">
        <v>412</v>
      </c>
      <c r="C557" s="121" t="s">
        <v>596</v>
      </c>
      <c r="D557" s="493" t="s">
        <v>883</v>
      </c>
      <c r="E557" s="493" t="s">
        <v>1094</v>
      </c>
      <c r="F557" s="493" t="s">
        <v>1094</v>
      </c>
      <c r="G557" s="493" t="s">
        <v>883</v>
      </c>
      <c r="H557" s="493" t="s">
        <v>883</v>
      </c>
      <c r="I557" s="283" t="s">
        <v>1094</v>
      </c>
      <c r="J557" s="283" t="s">
        <v>1094</v>
      </c>
      <c r="K557" s="416">
        <v>1.6000000000000001E-4</v>
      </c>
      <c r="L557" s="405" t="s">
        <v>1094</v>
      </c>
      <c r="M557" s="405" t="s">
        <v>1094</v>
      </c>
      <c r="N557" s="405" t="s">
        <v>1094</v>
      </c>
      <c r="O557" s="405" t="s">
        <v>1094</v>
      </c>
      <c r="P557" s="405" t="s">
        <v>1094</v>
      </c>
      <c r="Q557" s="405" t="s">
        <v>1094</v>
      </c>
      <c r="R557" s="405" t="s">
        <v>1094</v>
      </c>
      <c r="S557" s="405" t="s">
        <v>1094</v>
      </c>
      <c r="T557" s="405" t="s">
        <v>1094</v>
      </c>
      <c r="U557" s="405" t="s">
        <v>1094</v>
      </c>
    </row>
    <row r="558" spans="1:21">
      <c r="A558" s="242" t="s">
        <v>853</v>
      </c>
      <c r="B558" s="282" t="s">
        <v>413</v>
      </c>
      <c r="C558" s="106" t="s">
        <v>794</v>
      </c>
      <c r="D558" s="493" t="s">
        <v>883</v>
      </c>
      <c r="E558" s="491" t="s">
        <v>883</v>
      </c>
      <c r="F558" s="491" t="s">
        <v>1094</v>
      </c>
      <c r="G558" s="283" t="s">
        <v>1094</v>
      </c>
      <c r="H558" s="283" t="s">
        <v>883</v>
      </c>
      <c r="I558" s="283" t="s">
        <v>1094</v>
      </c>
      <c r="J558" s="493" t="s">
        <v>883</v>
      </c>
      <c r="K558" s="416">
        <v>6.9444444444444447E-4</v>
      </c>
      <c r="L558" s="493" t="s">
        <v>883</v>
      </c>
      <c r="M558" s="405" t="s">
        <v>1094</v>
      </c>
      <c r="N558" s="405" t="s">
        <v>1094</v>
      </c>
      <c r="O558" s="405" t="s">
        <v>1094</v>
      </c>
      <c r="P558" s="405" t="s">
        <v>1094</v>
      </c>
      <c r="Q558" s="493" t="s">
        <v>883</v>
      </c>
      <c r="R558" s="493" t="s">
        <v>883</v>
      </c>
      <c r="S558" s="405" t="s">
        <v>1094</v>
      </c>
      <c r="T558" s="493" t="s">
        <v>883</v>
      </c>
      <c r="U558" s="493" t="s">
        <v>883</v>
      </c>
    </row>
    <row r="559" spans="1:21">
      <c r="A559" s="242" t="s">
        <v>853</v>
      </c>
      <c r="B559" s="282" t="s">
        <v>414</v>
      </c>
      <c r="C559" s="106" t="s">
        <v>606</v>
      </c>
      <c r="D559" s="493" t="s">
        <v>883</v>
      </c>
      <c r="E559" s="491" t="s">
        <v>1094</v>
      </c>
      <c r="F559" s="491" t="s">
        <v>1094</v>
      </c>
      <c r="G559" s="283" t="s">
        <v>1094</v>
      </c>
      <c r="H559" s="283" t="s">
        <v>1094</v>
      </c>
      <c r="I559" s="283" t="s">
        <v>1094</v>
      </c>
      <c r="J559" s="493" t="s">
        <v>883</v>
      </c>
      <c r="K559" s="416">
        <v>8.0000000000000004E-4</v>
      </c>
      <c r="L559" s="405" t="s">
        <v>1094</v>
      </c>
      <c r="M559" s="405" t="s">
        <v>1094</v>
      </c>
      <c r="N559" s="405" t="s">
        <v>1094</v>
      </c>
      <c r="O559" s="405" t="s">
        <v>1094</v>
      </c>
      <c r="P559" s="405" t="s">
        <v>1094</v>
      </c>
      <c r="Q559" s="405" t="s">
        <v>1094</v>
      </c>
      <c r="R559" s="405" t="s">
        <v>1094</v>
      </c>
      <c r="S559" s="405" t="s">
        <v>1094</v>
      </c>
      <c r="T559" s="405" t="s">
        <v>1094</v>
      </c>
      <c r="U559" s="405" t="s">
        <v>1094</v>
      </c>
    </row>
    <row r="560" spans="1:21">
      <c r="A560" s="242" t="s">
        <v>853</v>
      </c>
      <c r="B560" s="282" t="s">
        <v>415</v>
      </c>
      <c r="C560" s="121" t="s">
        <v>628</v>
      </c>
      <c r="D560" s="493" t="s">
        <v>1094</v>
      </c>
      <c r="E560" s="493" t="s">
        <v>883</v>
      </c>
      <c r="F560" s="493" t="s">
        <v>883</v>
      </c>
      <c r="G560" s="283" t="s">
        <v>1094</v>
      </c>
      <c r="H560" s="493" t="s">
        <v>1094</v>
      </c>
      <c r="I560" s="493" t="s">
        <v>883</v>
      </c>
      <c r="J560" s="493" t="s">
        <v>1094</v>
      </c>
      <c r="K560" s="416">
        <v>2.0833333333333333E-3</v>
      </c>
      <c r="L560" s="405" t="s">
        <v>1094</v>
      </c>
      <c r="M560" s="405" t="s">
        <v>1094</v>
      </c>
      <c r="N560" s="405" t="s">
        <v>1094</v>
      </c>
      <c r="O560" s="405" t="s">
        <v>1094</v>
      </c>
      <c r="P560" s="405" t="s">
        <v>1094</v>
      </c>
      <c r="Q560" s="405" t="s">
        <v>1094</v>
      </c>
      <c r="R560" s="405" t="s">
        <v>1094</v>
      </c>
      <c r="S560" s="405" t="s">
        <v>1094</v>
      </c>
      <c r="T560" s="405" t="s">
        <v>1094</v>
      </c>
      <c r="U560" s="405" t="s">
        <v>1094</v>
      </c>
    </row>
    <row r="561" spans="1:21">
      <c r="A561" s="242" t="s">
        <v>853</v>
      </c>
      <c r="B561" s="282" t="s">
        <v>416</v>
      </c>
      <c r="C561" s="121" t="s">
        <v>645</v>
      </c>
      <c r="D561" s="493" t="s">
        <v>883</v>
      </c>
      <c r="E561" s="493" t="s">
        <v>1094</v>
      </c>
      <c r="F561" s="493" t="s">
        <v>883</v>
      </c>
      <c r="G561" s="283" t="s">
        <v>1094</v>
      </c>
      <c r="H561" s="493" t="s">
        <v>1094</v>
      </c>
      <c r="I561" s="493" t="s">
        <v>883</v>
      </c>
      <c r="J561" s="493" t="s">
        <v>883</v>
      </c>
      <c r="K561" s="416">
        <v>8.0000000000000004E-4</v>
      </c>
      <c r="L561" s="405" t="s">
        <v>1094</v>
      </c>
      <c r="M561" s="405" t="s">
        <v>1094</v>
      </c>
      <c r="N561" s="405" t="s">
        <v>1094</v>
      </c>
      <c r="O561" s="405" t="s">
        <v>1094</v>
      </c>
      <c r="P561" s="405" t="s">
        <v>1094</v>
      </c>
      <c r="Q561" s="405" t="s">
        <v>1094</v>
      </c>
      <c r="R561" s="405" t="s">
        <v>1094</v>
      </c>
      <c r="S561" s="405" t="s">
        <v>1094</v>
      </c>
      <c r="T561" s="405" t="s">
        <v>1094</v>
      </c>
      <c r="U561" s="405" t="s">
        <v>1094</v>
      </c>
    </row>
    <row r="562" spans="1:21">
      <c r="A562" s="242" t="s">
        <v>853</v>
      </c>
      <c r="B562" s="297" t="s">
        <v>1264</v>
      </c>
      <c r="C562" s="121" t="s">
        <v>723</v>
      </c>
      <c r="D562" s="492" t="s">
        <v>1094</v>
      </c>
      <c r="E562" s="493" t="s">
        <v>1094</v>
      </c>
      <c r="F562" s="493" t="s">
        <v>883</v>
      </c>
      <c r="G562" s="493" t="s">
        <v>1094</v>
      </c>
      <c r="H562" s="283" t="s">
        <v>1094</v>
      </c>
      <c r="I562" s="493" t="s">
        <v>883</v>
      </c>
      <c r="J562" s="283" t="s">
        <v>1094</v>
      </c>
      <c r="K562" s="416">
        <v>2.2222222222222222E-3</v>
      </c>
      <c r="L562" s="493" t="s">
        <v>883</v>
      </c>
      <c r="M562" s="405" t="s">
        <v>1094</v>
      </c>
      <c r="N562" s="405" t="s">
        <v>1094</v>
      </c>
      <c r="O562" s="405" t="s">
        <v>1094</v>
      </c>
      <c r="P562" s="405" t="s">
        <v>1094</v>
      </c>
      <c r="Q562" s="493" t="s">
        <v>883</v>
      </c>
      <c r="R562" s="405" t="s">
        <v>1094</v>
      </c>
      <c r="S562" s="405" t="s">
        <v>1094</v>
      </c>
      <c r="T562" s="405" t="s">
        <v>1094</v>
      </c>
      <c r="U562" s="405" t="s">
        <v>1094</v>
      </c>
    </row>
    <row r="563" spans="1:21">
      <c r="A563" s="242" t="s">
        <v>853</v>
      </c>
      <c r="B563" s="282" t="s">
        <v>417</v>
      </c>
      <c r="C563" s="108" t="s">
        <v>823</v>
      </c>
      <c r="D563" s="497" t="s">
        <v>883</v>
      </c>
      <c r="E563" s="493" t="s">
        <v>1094</v>
      </c>
      <c r="F563" s="493" t="s">
        <v>883</v>
      </c>
      <c r="G563" s="493" t="s">
        <v>883</v>
      </c>
      <c r="H563" s="493" t="s">
        <v>1094</v>
      </c>
      <c r="I563" s="493" t="s">
        <v>883</v>
      </c>
      <c r="J563" s="283" t="s">
        <v>1094</v>
      </c>
      <c r="K563" s="416">
        <v>1.7977528089887642E-2</v>
      </c>
      <c r="L563" s="405" t="s">
        <v>1094</v>
      </c>
      <c r="M563" s="405" t="s">
        <v>1094</v>
      </c>
      <c r="N563" s="405" t="s">
        <v>1094</v>
      </c>
      <c r="O563" s="405" t="s">
        <v>1094</v>
      </c>
      <c r="P563" s="405" t="s">
        <v>1094</v>
      </c>
      <c r="Q563" s="405" t="s">
        <v>1094</v>
      </c>
      <c r="R563" s="405" t="s">
        <v>1094</v>
      </c>
      <c r="S563" s="405" t="s">
        <v>1094</v>
      </c>
      <c r="T563" s="405" t="s">
        <v>1094</v>
      </c>
      <c r="U563" s="405" t="s">
        <v>1094</v>
      </c>
    </row>
    <row r="564" spans="1:21">
      <c r="A564" s="242" t="s">
        <v>853</v>
      </c>
      <c r="B564" s="282" t="s">
        <v>418</v>
      </c>
      <c r="C564" s="106" t="s">
        <v>796</v>
      </c>
      <c r="D564" s="493" t="s">
        <v>1094</v>
      </c>
      <c r="E564" s="491" t="s">
        <v>1094</v>
      </c>
      <c r="F564" s="493" t="s">
        <v>883</v>
      </c>
      <c r="G564" s="283" t="s">
        <v>883</v>
      </c>
      <c r="H564" s="283" t="s">
        <v>1094</v>
      </c>
      <c r="I564" s="493" t="s">
        <v>883</v>
      </c>
      <c r="J564" s="283" t="s">
        <v>1094</v>
      </c>
      <c r="K564" s="416">
        <v>1.2335526315789473E-3</v>
      </c>
      <c r="L564" s="405" t="s">
        <v>1094</v>
      </c>
      <c r="M564" s="405" t="s">
        <v>1094</v>
      </c>
      <c r="N564" s="405" t="s">
        <v>1094</v>
      </c>
      <c r="O564" s="405" t="s">
        <v>1094</v>
      </c>
      <c r="P564" s="405" t="s">
        <v>1094</v>
      </c>
      <c r="Q564" s="405" t="s">
        <v>1094</v>
      </c>
      <c r="R564" s="405" t="s">
        <v>1094</v>
      </c>
      <c r="S564" s="405" t="s">
        <v>1094</v>
      </c>
      <c r="T564" s="405" t="s">
        <v>1094</v>
      </c>
      <c r="U564" s="405" t="s">
        <v>1094</v>
      </c>
    </row>
    <row r="565" spans="1:21">
      <c r="A565" s="242" t="s">
        <v>853</v>
      </c>
      <c r="B565" s="282" t="s">
        <v>507</v>
      </c>
      <c r="C565" s="108" t="s">
        <v>254</v>
      </c>
      <c r="D565" s="493" t="s">
        <v>883</v>
      </c>
      <c r="E565" s="497" t="s">
        <v>883</v>
      </c>
      <c r="F565" s="497" t="s">
        <v>1094</v>
      </c>
      <c r="G565" s="283" t="s">
        <v>1094</v>
      </c>
      <c r="H565" s="493" t="s">
        <v>883</v>
      </c>
      <c r="I565" s="283" t="s">
        <v>1094</v>
      </c>
      <c r="J565" s="493" t="s">
        <v>883</v>
      </c>
      <c r="K565" s="416">
        <v>1.0752688172043011E-4</v>
      </c>
      <c r="L565" s="493" t="s">
        <v>883</v>
      </c>
      <c r="M565" s="405" t="s">
        <v>1094</v>
      </c>
      <c r="N565" s="493" t="s">
        <v>883</v>
      </c>
      <c r="O565" s="405" t="s">
        <v>1094</v>
      </c>
      <c r="P565" s="405" t="s">
        <v>1094</v>
      </c>
      <c r="Q565" s="493" t="s">
        <v>883</v>
      </c>
      <c r="R565" s="493" t="s">
        <v>883</v>
      </c>
      <c r="S565" s="405" t="s">
        <v>1094</v>
      </c>
      <c r="T565" s="493" t="s">
        <v>883</v>
      </c>
      <c r="U565" s="493" t="s">
        <v>883</v>
      </c>
    </row>
    <row r="566" spans="1:21">
      <c r="A566" s="242" t="s">
        <v>853</v>
      </c>
      <c r="B566" s="282" t="s">
        <v>508</v>
      </c>
      <c r="C566" s="121" t="s">
        <v>644</v>
      </c>
      <c r="D566" s="493" t="s">
        <v>883</v>
      </c>
      <c r="E566" s="493" t="s">
        <v>1094</v>
      </c>
      <c r="F566" s="493" t="s">
        <v>883</v>
      </c>
      <c r="G566" s="493" t="s">
        <v>883</v>
      </c>
      <c r="H566" s="283" t="s">
        <v>1094</v>
      </c>
      <c r="I566" s="493" t="s">
        <v>883</v>
      </c>
      <c r="J566" s="283" t="s">
        <v>1094</v>
      </c>
      <c r="K566" s="416">
        <v>3.8095238095238096E-4</v>
      </c>
      <c r="L566" s="493" t="s">
        <v>883</v>
      </c>
      <c r="M566" s="493" t="s">
        <v>883</v>
      </c>
      <c r="N566" s="493" t="s">
        <v>883</v>
      </c>
      <c r="O566" s="493" t="s">
        <v>883</v>
      </c>
      <c r="P566" s="405" t="s">
        <v>1094</v>
      </c>
      <c r="Q566" s="493" t="s">
        <v>883</v>
      </c>
      <c r="R566" s="493" t="s">
        <v>883</v>
      </c>
      <c r="S566" s="493" t="s">
        <v>883</v>
      </c>
      <c r="T566" s="493" t="s">
        <v>883</v>
      </c>
      <c r="U566" s="493" t="s">
        <v>883</v>
      </c>
    </row>
    <row r="567" spans="1:21">
      <c r="A567" s="242" t="s">
        <v>853</v>
      </c>
      <c r="B567" s="282" t="s">
        <v>419</v>
      </c>
      <c r="C567" s="121" t="s">
        <v>700</v>
      </c>
      <c r="D567" s="493" t="s">
        <v>1094</v>
      </c>
      <c r="E567" s="493" t="s">
        <v>883</v>
      </c>
      <c r="F567" s="493" t="s">
        <v>883</v>
      </c>
      <c r="G567" s="283" t="s">
        <v>1094</v>
      </c>
      <c r="H567" s="283" t="s">
        <v>1094</v>
      </c>
      <c r="I567" s="493" t="s">
        <v>883</v>
      </c>
      <c r="J567" s="493" t="s">
        <v>883</v>
      </c>
      <c r="K567" s="416">
        <v>6.6666666666666671E-3</v>
      </c>
      <c r="L567" s="493" t="s">
        <v>883</v>
      </c>
      <c r="M567" s="405" t="s">
        <v>1094</v>
      </c>
      <c r="N567" s="405" t="s">
        <v>1094</v>
      </c>
      <c r="O567" s="493" t="s">
        <v>883</v>
      </c>
      <c r="P567" s="405" t="s">
        <v>1094</v>
      </c>
      <c r="Q567" s="493" t="s">
        <v>883</v>
      </c>
      <c r="R567" s="493" t="s">
        <v>883</v>
      </c>
      <c r="S567" s="493" t="s">
        <v>883</v>
      </c>
      <c r="T567" s="493" t="s">
        <v>883</v>
      </c>
      <c r="U567" s="493" t="s">
        <v>883</v>
      </c>
    </row>
    <row r="568" spans="1:21">
      <c r="A568" s="242" t="s">
        <v>853</v>
      </c>
      <c r="B568" s="282" t="s">
        <v>1265</v>
      </c>
      <c r="C568" s="121" t="s">
        <v>682</v>
      </c>
      <c r="D568" s="498" t="s">
        <v>883</v>
      </c>
      <c r="E568" s="493" t="s">
        <v>1094</v>
      </c>
      <c r="F568" s="493" t="s">
        <v>1094</v>
      </c>
      <c r="G568" s="283" t="s">
        <v>1094</v>
      </c>
      <c r="H568" s="283" t="s">
        <v>1094</v>
      </c>
      <c r="I568" s="493" t="s">
        <v>883</v>
      </c>
      <c r="J568" s="493" t="s">
        <v>883</v>
      </c>
      <c r="K568" s="416">
        <v>5.6249999999999998E-3</v>
      </c>
      <c r="L568" s="493" t="s">
        <v>883</v>
      </c>
      <c r="M568" s="405" t="s">
        <v>1094</v>
      </c>
      <c r="N568" s="493" t="s">
        <v>883</v>
      </c>
      <c r="O568" s="405" t="s">
        <v>1094</v>
      </c>
      <c r="P568" s="405" t="s">
        <v>1094</v>
      </c>
      <c r="Q568" s="493" t="s">
        <v>883</v>
      </c>
      <c r="R568" s="493" t="s">
        <v>883</v>
      </c>
      <c r="S568" s="493" t="s">
        <v>883</v>
      </c>
      <c r="T568" s="493" t="s">
        <v>883</v>
      </c>
      <c r="U568" s="493" t="s">
        <v>883</v>
      </c>
    </row>
    <row r="569" spans="1:21">
      <c r="A569" s="242" t="s">
        <v>853</v>
      </c>
      <c r="B569" s="282" t="s">
        <v>273</v>
      </c>
      <c r="C569" s="108" t="s">
        <v>250</v>
      </c>
      <c r="D569" s="497" t="s">
        <v>1094</v>
      </c>
      <c r="E569" s="493" t="s">
        <v>1094</v>
      </c>
      <c r="F569" s="493" t="s">
        <v>883</v>
      </c>
      <c r="G569" s="283" t="s">
        <v>1094</v>
      </c>
      <c r="H569" s="493" t="s">
        <v>1094</v>
      </c>
      <c r="I569" s="493" t="s">
        <v>883</v>
      </c>
      <c r="J569" s="493" t="s">
        <v>883</v>
      </c>
      <c r="K569" s="416">
        <v>3.1250000000000001E-4</v>
      </c>
      <c r="L569" s="493" t="s">
        <v>883</v>
      </c>
      <c r="M569" s="405" t="s">
        <v>1094</v>
      </c>
      <c r="N569" s="405" t="s">
        <v>1094</v>
      </c>
      <c r="O569" s="493" t="s">
        <v>883</v>
      </c>
      <c r="P569" s="405" t="s">
        <v>1094</v>
      </c>
      <c r="Q569" s="493" t="s">
        <v>883</v>
      </c>
      <c r="R569" s="405" t="s">
        <v>1094</v>
      </c>
      <c r="S569" s="405" t="s">
        <v>1094</v>
      </c>
      <c r="T569" s="405" t="s">
        <v>1094</v>
      </c>
      <c r="U569" s="405" t="s">
        <v>1094</v>
      </c>
    </row>
    <row r="570" spans="1:21">
      <c r="A570" s="529" t="s">
        <v>853</v>
      </c>
      <c r="B570" s="530" t="s">
        <v>11231</v>
      </c>
      <c r="C570" s="552" t="s">
        <v>6343</v>
      </c>
      <c r="D570" s="547" t="s">
        <v>883</v>
      </c>
      <c r="E570" s="547" t="s">
        <v>883</v>
      </c>
      <c r="F570" s="547" t="s">
        <v>883</v>
      </c>
      <c r="G570" s="548" t="s">
        <v>883</v>
      </c>
      <c r="H570" s="547" t="s">
        <v>883</v>
      </c>
      <c r="I570" s="547" t="s">
        <v>883</v>
      </c>
      <c r="J570" s="547" t="s">
        <v>883</v>
      </c>
      <c r="K570" s="533">
        <v>1E-3</v>
      </c>
      <c r="L570" s="547" t="s">
        <v>883</v>
      </c>
      <c r="M570" s="533" t="s">
        <v>883</v>
      </c>
      <c r="N570" s="533" t="s">
        <v>1094</v>
      </c>
      <c r="O570" s="547" t="s">
        <v>1094</v>
      </c>
      <c r="P570" s="547" t="s">
        <v>1094</v>
      </c>
      <c r="Q570" s="547" t="s">
        <v>1094</v>
      </c>
      <c r="R570" s="533" t="s">
        <v>883</v>
      </c>
      <c r="S570" s="533" t="s">
        <v>1094</v>
      </c>
      <c r="T570" s="547" t="s">
        <v>1094</v>
      </c>
      <c r="U570" s="547" t="s">
        <v>1094</v>
      </c>
    </row>
    <row r="571" spans="1:21">
      <c r="A571" s="242" t="s">
        <v>853</v>
      </c>
      <c r="B571" s="282" t="s">
        <v>420</v>
      </c>
      <c r="C571" s="121" t="s">
        <v>724</v>
      </c>
      <c r="D571" s="492" t="s">
        <v>1094</v>
      </c>
      <c r="E571" s="498" t="s">
        <v>1094</v>
      </c>
      <c r="F571" s="493" t="s">
        <v>883</v>
      </c>
      <c r="G571" s="283" t="s">
        <v>1094</v>
      </c>
      <c r="H571" s="493" t="s">
        <v>1094</v>
      </c>
      <c r="I571" s="493" t="s">
        <v>883</v>
      </c>
      <c r="J571" s="493" t="s">
        <v>883</v>
      </c>
      <c r="K571" s="416">
        <v>5.7142857142857143E-3</v>
      </c>
      <c r="L571" s="493" t="s">
        <v>883</v>
      </c>
      <c r="M571" s="405" t="s">
        <v>1094</v>
      </c>
      <c r="N571" s="493" t="s">
        <v>883</v>
      </c>
      <c r="O571" s="493" t="s">
        <v>883</v>
      </c>
      <c r="P571" s="493" t="s">
        <v>883</v>
      </c>
      <c r="Q571" s="405" t="s">
        <v>1094</v>
      </c>
      <c r="R571" s="493" t="s">
        <v>883</v>
      </c>
      <c r="S571" s="493" t="s">
        <v>883</v>
      </c>
      <c r="T571" s="405" t="s">
        <v>1094</v>
      </c>
      <c r="U571" s="405" t="s">
        <v>1094</v>
      </c>
    </row>
    <row r="572" spans="1:21">
      <c r="A572" s="242" t="s">
        <v>853</v>
      </c>
      <c r="B572" s="297" t="s">
        <v>1266</v>
      </c>
      <c r="C572" s="121" t="s">
        <v>678</v>
      </c>
      <c r="D572" s="493" t="s">
        <v>1094</v>
      </c>
      <c r="E572" s="493" t="s">
        <v>1094</v>
      </c>
      <c r="F572" s="493" t="s">
        <v>883</v>
      </c>
      <c r="G572" s="283" t="s">
        <v>1094</v>
      </c>
      <c r="H572" s="283" t="s">
        <v>1094</v>
      </c>
      <c r="I572" s="493" t="s">
        <v>883</v>
      </c>
      <c r="J572" s="493" t="s">
        <v>883</v>
      </c>
      <c r="K572" s="416">
        <v>1.4062499999999999E-3</v>
      </c>
      <c r="L572" s="405" t="s">
        <v>1094</v>
      </c>
      <c r="M572" s="405" t="s">
        <v>1094</v>
      </c>
      <c r="N572" s="405" t="s">
        <v>1094</v>
      </c>
      <c r="O572" s="405" t="s">
        <v>1094</v>
      </c>
      <c r="P572" s="405" t="s">
        <v>1094</v>
      </c>
      <c r="Q572" s="405" t="s">
        <v>1094</v>
      </c>
      <c r="R572" s="405" t="s">
        <v>1094</v>
      </c>
      <c r="S572" s="405" t="s">
        <v>1094</v>
      </c>
      <c r="T572" s="405" t="s">
        <v>1094</v>
      </c>
      <c r="U572" s="405" t="s">
        <v>1094</v>
      </c>
    </row>
    <row r="573" spans="1:21">
      <c r="A573" s="242" t="s">
        <v>853</v>
      </c>
      <c r="B573" s="282" t="s">
        <v>421</v>
      </c>
      <c r="C573" s="121" t="s">
        <v>765</v>
      </c>
      <c r="D573" s="493" t="s">
        <v>883</v>
      </c>
      <c r="E573" s="493" t="s">
        <v>1094</v>
      </c>
      <c r="F573" s="493" t="s">
        <v>883</v>
      </c>
      <c r="G573" s="493" t="s">
        <v>883</v>
      </c>
      <c r="H573" s="283" t="s">
        <v>1094</v>
      </c>
      <c r="I573" s="493" t="s">
        <v>883</v>
      </c>
      <c r="J573" s="283" t="s">
        <v>1094</v>
      </c>
      <c r="K573" s="416">
        <v>1.1538461538461539E-2</v>
      </c>
      <c r="L573" s="405" t="s">
        <v>1094</v>
      </c>
      <c r="M573" s="405" t="s">
        <v>1094</v>
      </c>
      <c r="N573" s="405" t="s">
        <v>1094</v>
      </c>
      <c r="O573" s="405" t="s">
        <v>1094</v>
      </c>
      <c r="P573" s="405" t="s">
        <v>1094</v>
      </c>
      <c r="Q573" s="405" t="s">
        <v>1094</v>
      </c>
      <c r="R573" s="405" t="s">
        <v>1094</v>
      </c>
      <c r="S573" s="405" t="s">
        <v>1094</v>
      </c>
      <c r="T573" s="405" t="s">
        <v>1094</v>
      </c>
      <c r="U573" s="405" t="s">
        <v>1094</v>
      </c>
    </row>
    <row r="574" spans="1:21">
      <c r="A574" s="242" t="s">
        <v>853</v>
      </c>
      <c r="B574" s="282" t="s">
        <v>422</v>
      </c>
      <c r="C574" s="108" t="s">
        <v>228</v>
      </c>
      <c r="D574" s="497" t="s">
        <v>1094</v>
      </c>
      <c r="E574" s="493" t="s">
        <v>883</v>
      </c>
      <c r="F574" s="493" t="s">
        <v>883</v>
      </c>
      <c r="G574" s="283" t="s">
        <v>1094</v>
      </c>
      <c r="H574" s="283" t="s">
        <v>1094</v>
      </c>
      <c r="I574" s="493" t="s">
        <v>883</v>
      </c>
      <c r="J574" s="493" t="s">
        <v>883</v>
      </c>
      <c r="K574" s="416">
        <v>1.4999999999999999E-4</v>
      </c>
      <c r="L574" s="493" t="s">
        <v>883</v>
      </c>
      <c r="M574" s="405" t="s">
        <v>1094</v>
      </c>
      <c r="N574" s="405" t="s">
        <v>1094</v>
      </c>
      <c r="O574" s="493" t="s">
        <v>883</v>
      </c>
      <c r="P574" s="405" t="s">
        <v>1094</v>
      </c>
      <c r="Q574" s="493" t="s">
        <v>883</v>
      </c>
      <c r="R574" s="405" t="s">
        <v>1094</v>
      </c>
      <c r="S574" s="405" t="s">
        <v>1094</v>
      </c>
      <c r="T574" s="493" t="s">
        <v>883</v>
      </c>
      <c r="U574" s="493" t="s">
        <v>883</v>
      </c>
    </row>
    <row r="575" spans="1:21">
      <c r="A575" s="242" t="s">
        <v>853</v>
      </c>
      <c r="B575" s="297" t="s">
        <v>1268</v>
      </c>
      <c r="C575" s="121" t="s">
        <v>663</v>
      </c>
      <c r="D575" s="493" t="s">
        <v>883</v>
      </c>
      <c r="E575" s="493" t="s">
        <v>883</v>
      </c>
      <c r="F575" s="493" t="s">
        <v>1094</v>
      </c>
      <c r="G575" s="283" t="s">
        <v>1094</v>
      </c>
      <c r="H575" s="283" t="s">
        <v>1094</v>
      </c>
      <c r="I575" s="283" t="s">
        <v>1094</v>
      </c>
      <c r="J575" s="493" t="s">
        <v>883</v>
      </c>
      <c r="K575" s="416">
        <v>1.8749999999999999E-3</v>
      </c>
      <c r="L575" s="405" t="s">
        <v>1094</v>
      </c>
      <c r="M575" s="405" t="s">
        <v>1094</v>
      </c>
      <c r="N575" s="405" t="s">
        <v>1094</v>
      </c>
      <c r="O575" s="405" t="s">
        <v>1094</v>
      </c>
      <c r="P575" s="405" t="s">
        <v>1094</v>
      </c>
      <c r="Q575" s="405" t="s">
        <v>1094</v>
      </c>
      <c r="R575" s="405" t="s">
        <v>1094</v>
      </c>
      <c r="S575" s="405" t="s">
        <v>1094</v>
      </c>
      <c r="T575" s="405" t="s">
        <v>1094</v>
      </c>
      <c r="U575" s="405" t="s">
        <v>1094</v>
      </c>
    </row>
    <row r="576" spans="1:21">
      <c r="A576" s="242" t="s">
        <v>853</v>
      </c>
      <c r="B576" s="384" t="s">
        <v>1269</v>
      </c>
      <c r="C576" s="390" t="s">
        <v>685</v>
      </c>
      <c r="D576" s="493" t="s">
        <v>1094</v>
      </c>
      <c r="E576" s="493" t="s">
        <v>883</v>
      </c>
      <c r="F576" s="493" t="s">
        <v>883</v>
      </c>
      <c r="G576" s="283" t="s">
        <v>1094</v>
      </c>
      <c r="H576" s="283" t="s">
        <v>1094</v>
      </c>
      <c r="I576" s="493" t="s">
        <v>883</v>
      </c>
      <c r="J576" s="493" t="s">
        <v>1094</v>
      </c>
      <c r="K576" s="416">
        <v>4.0178571428571425E-3</v>
      </c>
      <c r="L576" s="493" t="s">
        <v>883</v>
      </c>
      <c r="M576" s="405" t="s">
        <v>1094</v>
      </c>
      <c r="N576" s="493" t="s">
        <v>883</v>
      </c>
      <c r="O576" s="405" t="s">
        <v>1094</v>
      </c>
      <c r="P576" s="493" t="s">
        <v>883</v>
      </c>
      <c r="Q576" s="405" t="s">
        <v>1094</v>
      </c>
      <c r="R576" s="493" t="s">
        <v>883</v>
      </c>
      <c r="S576" s="405" t="s">
        <v>1094</v>
      </c>
      <c r="T576" s="405" t="s">
        <v>1094</v>
      </c>
      <c r="U576" s="405" t="s">
        <v>1094</v>
      </c>
    </row>
    <row r="577" spans="1:34">
      <c r="A577" s="637" t="s">
        <v>853</v>
      </c>
      <c r="B577" s="282" t="s">
        <v>423</v>
      </c>
      <c r="C577" s="121" t="s">
        <v>653</v>
      </c>
      <c r="D577" s="493" t="s">
        <v>1094</v>
      </c>
      <c r="E577" s="493" t="s">
        <v>883</v>
      </c>
      <c r="F577" s="493" t="s">
        <v>883</v>
      </c>
      <c r="G577" s="283" t="s">
        <v>1094</v>
      </c>
      <c r="H577" s="493" t="s">
        <v>883</v>
      </c>
      <c r="I577" s="493" t="s">
        <v>883</v>
      </c>
      <c r="J577" s="493" t="s">
        <v>883</v>
      </c>
      <c r="K577" s="416">
        <v>5.3571428571428572E-3</v>
      </c>
      <c r="L577" s="493" t="s">
        <v>883</v>
      </c>
      <c r="M577" s="405" t="s">
        <v>1094</v>
      </c>
      <c r="N577" s="493" t="s">
        <v>883</v>
      </c>
      <c r="O577" s="493" t="s">
        <v>883</v>
      </c>
      <c r="P577" s="493" t="s">
        <v>883</v>
      </c>
      <c r="Q577" s="405" t="s">
        <v>1094</v>
      </c>
      <c r="R577" s="493" t="s">
        <v>883</v>
      </c>
      <c r="S577" s="493" t="s">
        <v>883</v>
      </c>
      <c r="T577" s="405" t="s">
        <v>1094</v>
      </c>
      <c r="U577" s="405" t="s">
        <v>1094</v>
      </c>
    </row>
    <row r="578" spans="1:34">
      <c r="A578" s="242" t="s">
        <v>853</v>
      </c>
      <c r="B578" s="554" t="s">
        <v>424</v>
      </c>
      <c r="C578" s="385" t="s">
        <v>246</v>
      </c>
      <c r="D578" s="499" t="s">
        <v>1094</v>
      </c>
      <c r="E578" s="498" t="s">
        <v>883</v>
      </c>
      <c r="F578" s="498" t="s">
        <v>883</v>
      </c>
      <c r="G578" s="414" t="s">
        <v>1094</v>
      </c>
      <c r="H578" s="414" t="s">
        <v>1094</v>
      </c>
      <c r="I578" s="498" t="s">
        <v>883</v>
      </c>
      <c r="J578" s="498" t="s">
        <v>883</v>
      </c>
      <c r="K578" s="416">
        <v>6.3157894736842104E-3</v>
      </c>
      <c r="L578" s="498" t="s">
        <v>883</v>
      </c>
      <c r="M578" s="419" t="s">
        <v>1094</v>
      </c>
      <c r="N578" s="419" t="s">
        <v>1094</v>
      </c>
      <c r="O578" s="419" t="s">
        <v>1094</v>
      </c>
      <c r="P578" s="498" t="s">
        <v>883</v>
      </c>
      <c r="Q578" s="498" t="s">
        <v>883</v>
      </c>
      <c r="R578" s="419" t="s">
        <v>1094</v>
      </c>
      <c r="S578" s="419" t="s">
        <v>1094</v>
      </c>
      <c r="T578" s="419" t="s">
        <v>1094</v>
      </c>
      <c r="U578" s="419" t="s">
        <v>1094</v>
      </c>
    </row>
    <row r="579" spans="1:34">
      <c r="A579" s="242" t="s">
        <v>853</v>
      </c>
      <c r="B579" s="282" t="s">
        <v>1081</v>
      </c>
      <c r="C579" s="121" t="s">
        <v>1080</v>
      </c>
      <c r="D579" s="493" t="s">
        <v>883</v>
      </c>
      <c r="E579" s="493" t="s">
        <v>883</v>
      </c>
      <c r="F579" s="493" t="s">
        <v>1094</v>
      </c>
      <c r="G579" s="493" t="s">
        <v>883</v>
      </c>
      <c r="H579" s="493" t="s">
        <v>883</v>
      </c>
      <c r="I579" s="283" t="s">
        <v>1094</v>
      </c>
      <c r="J579" s="493" t="s">
        <v>883</v>
      </c>
      <c r="K579" s="416">
        <v>2.3076923076923076E-5</v>
      </c>
      <c r="L579" s="493" t="s">
        <v>883</v>
      </c>
      <c r="M579" s="405" t="s">
        <v>1094</v>
      </c>
      <c r="N579" s="493" t="s">
        <v>883</v>
      </c>
      <c r="O579" s="493" t="s">
        <v>883</v>
      </c>
      <c r="P579" s="493" t="s">
        <v>883</v>
      </c>
      <c r="Q579" s="493" t="s">
        <v>883</v>
      </c>
      <c r="R579" s="405" t="s">
        <v>1094</v>
      </c>
      <c r="S579" s="405" t="s">
        <v>1094</v>
      </c>
      <c r="T579" s="493" t="s">
        <v>883</v>
      </c>
      <c r="U579" s="493" t="s">
        <v>883</v>
      </c>
    </row>
    <row r="580" spans="1:34">
      <c r="A580" s="242" t="s">
        <v>853</v>
      </c>
      <c r="B580" s="282" t="s">
        <v>425</v>
      </c>
      <c r="C580" s="122" t="s">
        <v>518</v>
      </c>
      <c r="D580" s="504" t="s">
        <v>1094</v>
      </c>
      <c r="E580" s="504" t="s">
        <v>883</v>
      </c>
      <c r="F580" s="493" t="s">
        <v>883</v>
      </c>
      <c r="G580" s="493" t="s">
        <v>883</v>
      </c>
      <c r="H580" s="283" t="s">
        <v>1094</v>
      </c>
      <c r="I580" s="493" t="s">
        <v>883</v>
      </c>
      <c r="J580" s="283" t="s">
        <v>1094</v>
      </c>
      <c r="K580" s="416">
        <v>0.01</v>
      </c>
      <c r="L580" s="493" t="s">
        <v>883</v>
      </c>
      <c r="M580" s="405" t="s">
        <v>1094</v>
      </c>
      <c r="N580" s="493" t="s">
        <v>883</v>
      </c>
      <c r="O580" s="493" t="s">
        <v>883</v>
      </c>
      <c r="P580" s="405" t="s">
        <v>1094</v>
      </c>
      <c r="Q580" s="493" t="s">
        <v>883</v>
      </c>
      <c r="R580" s="493" t="s">
        <v>883</v>
      </c>
      <c r="S580" s="405" t="s">
        <v>1094</v>
      </c>
      <c r="T580" s="493" t="s">
        <v>883</v>
      </c>
      <c r="U580" s="493" t="s">
        <v>883</v>
      </c>
    </row>
    <row r="581" spans="1:34">
      <c r="A581" s="242" t="s">
        <v>853</v>
      </c>
      <c r="B581" s="282" t="s">
        <v>426</v>
      </c>
      <c r="C581" s="121" t="s">
        <v>638</v>
      </c>
      <c r="D581" s="493" t="s">
        <v>1094</v>
      </c>
      <c r="E581" s="493" t="s">
        <v>1094</v>
      </c>
      <c r="F581" s="493" t="s">
        <v>883</v>
      </c>
      <c r="G581" s="283" t="s">
        <v>1094</v>
      </c>
      <c r="H581" s="283" t="s">
        <v>1094</v>
      </c>
      <c r="I581" s="493" t="s">
        <v>883</v>
      </c>
      <c r="J581" s="493" t="s">
        <v>1094</v>
      </c>
      <c r="K581" s="416">
        <v>2.0833333333333333E-3</v>
      </c>
      <c r="L581" s="493" t="s">
        <v>883</v>
      </c>
      <c r="M581" s="405" t="s">
        <v>1094</v>
      </c>
      <c r="N581" s="405" t="s">
        <v>1094</v>
      </c>
      <c r="O581" s="493" t="s">
        <v>883</v>
      </c>
      <c r="P581" s="405" t="s">
        <v>1094</v>
      </c>
      <c r="Q581" s="493" t="s">
        <v>883</v>
      </c>
      <c r="R581" s="405" t="s">
        <v>1094</v>
      </c>
      <c r="S581" s="405" t="s">
        <v>1094</v>
      </c>
      <c r="T581" s="405" t="s">
        <v>1094</v>
      </c>
      <c r="U581" s="493" t="s">
        <v>883</v>
      </c>
    </row>
    <row r="582" spans="1:34">
      <c r="A582" s="242" t="s">
        <v>853</v>
      </c>
      <c r="B582" s="282" t="s">
        <v>509</v>
      </c>
      <c r="C582" s="106" t="s">
        <v>600</v>
      </c>
      <c r="D582" s="501" t="s">
        <v>1094</v>
      </c>
      <c r="E582" s="491" t="s">
        <v>1094</v>
      </c>
      <c r="F582" s="493" t="s">
        <v>883</v>
      </c>
      <c r="G582" s="493" t="s">
        <v>883</v>
      </c>
      <c r="H582" s="283" t="s">
        <v>1094</v>
      </c>
      <c r="I582" s="493" t="s">
        <v>883</v>
      </c>
      <c r="J582" s="283" t="s">
        <v>1094</v>
      </c>
      <c r="K582" s="416">
        <v>1.25E-3</v>
      </c>
      <c r="L582" s="493" t="s">
        <v>883</v>
      </c>
      <c r="M582" s="405" t="s">
        <v>1094</v>
      </c>
      <c r="N582" s="493" t="s">
        <v>883</v>
      </c>
      <c r="O582" s="405" t="s">
        <v>1094</v>
      </c>
      <c r="P582" s="405" t="s">
        <v>1094</v>
      </c>
      <c r="Q582" s="493" t="s">
        <v>883</v>
      </c>
      <c r="R582" s="493" t="s">
        <v>883</v>
      </c>
      <c r="S582" s="405" t="s">
        <v>1094</v>
      </c>
      <c r="T582" s="493" t="s">
        <v>883</v>
      </c>
      <c r="U582" s="493" t="s">
        <v>883</v>
      </c>
    </row>
    <row r="583" spans="1:34">
      <c r="A583" s="242" t="s">
        <v>853</v>
      </c>
      <c r="B583" s="282" t="s">
        <v>427</v>
      </c>
      <c r="C583" s="108" t="s">
        <v>257</v>
      </c>
      <c r="D583" s="499" t="s">
        <v>1094</v>
      </c>
      <c r="E583" s="493" t="s">
        <v>1094</v>
      </c>
      <c r="F583" s="493" t="s">
        <v>883</v>
      </c>
      <c r="G583" s="283" t="s">
        <v>1094</v>
      </c>
      <c r="H583" s="283" t="s">
        <v>1094</v>
      </c>
      <c r="I583" s="493" t="s">
        <v>883</v>
      </c>
      <c r="J583" s="493" t="s">
        <v>1094</v>
      </c>
      <c r="K583" s="416">
        <v>1.9736842105263157E-4</v>
      </c>
      <c r="L583" s="405" t="s">
        <v>1094</v>
      </c>
      <c r="M583" s="405" t="s">
        <v>1094</v>
      </c>
      <c r="N583" s="405" t="s">
        <v>1094</v>
      </c>
      <c r="O583" s="405" t="s">
        <v>1094</v>
      </c>
      <c r="P583" s="405" t="s">
        <v>1094</v>
      </c>
      <c r="Q583" s="405" t="s">
        <v>1094</v>
      </c>
      <c r="R583" s="405" t="s">
        <v>1094</v>
      </c>
      <c r="S583" s="405" t="s">
        <v>1094</v>
      </c>
      <c r="T583" s="405" t="s">
        <v>1094</v>
      </c>
      <c r="U583" s="405" t="s">
        <v>1094</v>
      </c>
    </row>
    <row r="584" spans="1:34" s="449" customFormat="1">
      <c r="A584" s="242" t="s">
        <v>853</v>
      </c>
      <c r="B584" s="297" t="s">
        <v>1270</v>
      </c>
      <c r="C584" s="121" t="s">
        <v>634</v>
      </c>
      <c r="D584" s="493" t="s">
        <v>1094</v>
      </c>
      <c r="E584" s="493" t="s">
        <v>1094</v>
      </c>
      <c r="F584" s="493" t="s">
        <v>883</v>
      </c>
      <c r="G584" s="283" t="s">
        <v>1094</v>
      </c>
      <c r="H584" s="283" t="s">
        <v>1094</v>
      </c>
      <c r="I584" s="493" t="s">
        <v>883</v>
      </c>
      <c r="J584" s="493" t="s">
        <v>1094</v>
      </c>
      <c r="K584" s="416">
        <v>1.7045454545454545E-3</v>
      </c>
      <c r="L584" s="405" t="s">
        <v>1094</v>
      </c>
      <c r="M584" s="405" t="s">
        <v>1094</v>
      </c>
      <c r="N584" s="405" t="s">
        <v>1094</v>
      </c>
      <c r="O584" s="405" t="s">
        <v>1094</v>
      </c>
      <c r="P584" s="405" t="s">
        <v>1094</v>
      </c>
      <c r="Q584" s="405" t="s">
        <v>1094</v>
      </c>
      <c r="R584" s="405" t="s">
        <v>1094</v>
      </c>
      <c r="S584" s="405" t="s">
        <v>1094</v>
      </c>
      <c r="T584" s="405" t="s">
        <v>1094</v>
      </c>
      <c r="U584" s="405" t="s">
        <v>1094</v>
      </c>
      <c r="V584" s="268"/>
      <c r="W584" s="447"/>
      <c r="X584" s="447"/>
      <c r="Y584" s="448"/>
      <c r="Z584" s="268"/>
      <c r="AA584" s="268"/>
      <c r="AB584" s="268"/>
      <c r="AC584" s="268"/>
      <c r="AD584" s="268"/>
      <c r="AE584" s="268"/>
      <c r="AF584" s="268"/>
      <c r="AG584" s="268"/>
      <c r="AH584" s="327"/>
    </row>
    <row r="585" spans="1:34">
      <c r="A585" s="242" t="s">
        <v>853</v>
      </c>
      <c r="B585" s="297" t="s">
        <v>1271</v>
      </c>
      <c r="C585" s="121" t="s">
        <v>534</v>
      </c>
      <c r="D585" s="492" t="s">
        <v>1094</v>
      </c>
      <c r="E585" s="492" t="s">
        <v>1094</v>
      </c>
      <c r="F585" s="493" t="s">
        <v>883</v>
      </c>
      <c r="G585" s="283" t="s">
        <v>883</v>
      </c>
      <c r="H585" s="283" t="s">
        <v>1094</v>
      </c>
      <c r="I585" s="283" t="s">
        <v>883</v>
      </c>
      <c r="J585" s="283" t="s">
        <v>1094</v>
      </c>
      <c r="K585" s="416">
        <v>1.4999999999999999E-4</v>
      </c>
      <c r="L585" s="493" t="s">
        <v>883</v>
      </c>
      <c r="M585" s="493" t="s">
        <v>883</v>
      </c>
      <c r="N585" s="493" t="s">
        <v>883</v>
      </c>
      <c r="O585" s="493" t="s">
        <v>883</v>
      </c>
      <c r="P585" s="405" t="s">
        <v>1094</v>
      </c>
      <c r="Q585" s="493" t="s">
        <v>883</v>
      </c>
      <c r="R585" s="493" t="s">
        <v>883</v>
      </c>
      <c r="S585" s="405" t="s">
        <v>1094</v>
      </c>
      <c r="T585" s="405" t="s">
        <v>1094</v>
      </c>
      <c r="U585" s="493" t="s">
        <v>883</v>
      </c>
    </row>
    <row r="586" spans="1:34">
      <c r="A586" s="242" t="s">
        <v>853</v>
      </c>
      <c r="B586" s="282" t="s">
        <v>428</v>
      </c>
      <c r="C586" s="106" t="s">
        <v>807</v>
      </c>
      <c r="D586" s="491" t="s">
        <v>1094</v>
      </c>
      <c r="E586" s="493" t="s">
        <v>1094</v>
      </c>
      <c r="F586" s="493" t="s">
        <v>883</v>
      </c>
      <c r="G586" s="283" t="s">
        <v>1094</v>
      </c>
      <c r="H586" s="283" t="s">
        <v>1094</v>
      </c>
      <c r="I586" s="493" t="s">
        <v>883</v>
      </c>
      <c r="J586" s="493" t="s">
        <v>1094</v>
      </c>
      <c r="K586" s="416">
        <v>2.3437499999999999E-4</v>
      </c>
      <c r="L586" s="493" t="s">
        <v>883</v>
      </c>
      <c r="M586" s="405" t="s">
        <v>1094</v>
      </c>
      <c r="N586" s="405" t="s">
        <v>1094</v>
      </c>
      <c r="O586" s="493" t="s">
        <v>883</v>
      </c>
      <c r="P586" s="493" t="s">
        <v>883</v>
      </c>
      <c r="Q586" s="493" t="s">
        <v>883</v>
      </c>
      <c r="R586" s="405" t="s">
        <v>1094</v>
      </c>
      <c r="S586" s="405" t="s">
        <v>1094</v>
      </c>
      <c r="T586" s="493" t="s">
        <v>1094</v>
      </c>
      <c r="U586" s="493" t="s">
        <v>883</v>
      </c>
    </row>
    <row r="587" spans="1:34">
      <c r="A587" s="242" t="s">
        <v>853</v>
      </c>
      <c r="B587" s="384" t="s">
        <v>429</v>
      </c>
      <c r="C587" s="390" t="s">
        <v>679</v>
      </c>
      <c r="D587" s="493" t="s">
        <v>1094</v>
      </c>
      <c r="E587" s="492" t="s">
        <v>1094</v>
      </c>
      <c r="F587" s="493" t="s">
        <v>883</v>
      </c>
      <c r="G587" s="493" t="s">
        <v>1094</v>
      </c>
      <c r="H587" s="283" t="s">
        <v>1094</v>
      </c>
      <c r="I587" s="493" t="s">
        <v>883</v>
      </c>
      <c r="J587" s="493" t="s">
        <v>1094</v>
      </c>
      <c r="K587" s="416">
        <v>3.0000000000000001E-3</v>
      </c>
      <c r="L587" s="493" t="s">
        <v>883</v>
      </c>
      <c r="M587" s="405" t="s">
        <v>1094</v>
      </c>
      <c r="N587" s="493" t="s">
        <v>883</v>
      </c>
      <c r="O587" s="493" t="s">
        <v>883</v>
      </c>
      <c r="P587" s="493" t="s">
        <v>883</v>
      </c>
      <c r="Q587" s="493" t="s">
        <v>883</v>
      </c>
      <c r="R587" s="405" t="s">
        <v>1094</v>
      </c>
      <c r="S587" s="405" t="s">
        <v>1094</v>
      </c>
      <c r="T587" s="405" t="s">
        <v>1094</v>
      </c>
      <c r="U587" s="493" t="s">
        <v>883</v>
      </c>
    </row>
    <row r="588" spans="1:34">
      <c r="A588" s="637" t="s">
        <v>853</v>
      </c>
      <c r="B588" s="282" t="s">
        <v>430</v>
      </c>
      <c r="C588" s="121" t="s">
        <v>727</v>
      </c>
      <c r="D588" s="493" t="s">
        <v>1094</v>
      </c>
      <c r="E588" s="493" t="s">
        <v>1094</v>
      </c>
      <c r="F588" s="492" t="s">
        <v>1094</v>
      </c>
      <c r="G588" s="283" t="s">
        <v>1094</v>
      </c>
      <c r="H588" s="283" t="s">
        <v>1094</v>
      </c>
      <c r="I588" s="313" t="s">
        <v>883</v>
      </c>
      <c r="J588" s="493" t="s">
        <v>883</v>
      </c>
      <c r="K588" s="416">
        <v>7.4404761904761911E-5</v>
      </c>
      <c r="L588" s="405" t="s">
        <v>1094</v>
      </c>
      <c r="M588" s="405" t="s">
        <v>1094</v>
      </c>
      <c r="N588" s="405" t="s">
        <v>1094</v>
      </c>
      <c r="O588" s="405" t="s">
        <v>1094</v>
      </c>
      <c r="P588" s="405" t="s">
        <v>1094</v>
      </c>
      <c r="Q588" s="405" t="s">
        <v>1094</v>
      </c>
      <c r="R588" s="405" t="s">
        <v>1094</v>
      </c>
      <c r="S588" s="405" t="s">
        <v>1094</v>
      </c>
      <c r="T588" s="405" t="s">
        <v>1094</v>
      </c>
      <c r="U588" s="405" t="s">
        <v>1094</v>
      </c>
    </row>
    <row r="589" spans="1:34">
      <c r="A589" s="242" t="s">
        <v>853</v>
      </c>
      <c r="B589" s="554" t="s">
        <v>431</v>
      </c>
      <c r="C589" s="639" t="s">
        <v>785</v>
      </c>
      <c r="D589" s="493" t="s">
        <v>883</v>
      </c>
      <c r="E589" s="497" t="s">
        <v>1094</v>
      </c>
      <c r="F589" s="497" t="s">
        <v>1094</v>
      </c>
      <c r="G589" s="283" t="s">
        <v>1094</v>
      </c>
      <c r="H589" s="283" t="s">
        <v>1094</v>
      </c>
      <c r="I589" s="283" t="s">
        <v>1094</v>
      </c>
      <c r="J589" s="493" t="s">
        <v>883</v>
      </c>
      <c r="K589" s="416">
        <v>5.0000000000000002E-5</v>
      </c>
      <c r="L589" s="405" t="s">
        <v>1094</v>
      </c>
      <c r="M589" s="405" t="s">
        <v>1094</v>
      </c>
      <c r="N589" s="405" t="s">
        <v>1094</v>
      </c>
      <c r="O589" s="405" t="s">
        <v>1094</v>
      </c>
      <c r="P589" s="405" t="s">
        <v>1094</v>
      </c>
      <c r="Q589" s="405" t="s">
        <v>1094</v>
      </c>
      <c r="R589" s="405" t="s">
        <v>1094</v>
      </c>
      <c r="S589" s="405" t="s">
        <v>1094</v>
      </c>
      <c r="T589" s="405" t="s">
        <v>1094</v>
      </c>
      <c r="U589" s="405" t="s">
        <v>1094</v>
      </c>
    </row>
    <row r="590" spans="1:34">
      <c r="A590" s="242" t="s">
        <v>853</v>
      </c>
      <c r="B590" s="281" t="s">
        <v>432</v>
      </c>
      <c r="C590" s="106" t="s">
        <v>809</v>
      </c>
      <c r="D590" s="491" t="s">
        <v>1094</v>
      </c>
      <c r="E590" s="493" t="s">
        <v>1094</v>
      </c>
      <c r="F590" s="493" t="s">
        <v>883</v>
      </c>
      <c r="G590" s="283" t="s">
        <v>1094</v>
      </c>
      <c r="H590" s="283" t="s">
        <v>1094</v>
      </c>
      <c r="I590" s="493" t="s">
        <v>883</v>
      </c>
      <c r="J590" s="493" t="s">
        <v>883</v>
      </c>
      <c r="K590" s="416">
        <v>3.4090909090909094E-4</v>
      </c>
      <c r="L590" s="405" t="s">
        <v>1094</v>
      </c>
      <c r="M590" s="405" t="s">
        <v>1094</v>
      </c>
      <c r="N590" s="405" t="s">
        <v>1094</v>
      </c>
      <c r="O590" s="405" t="s">
        <v>1094</v>
      </c>
      <c r="P590" s="405" t="s">
        <v>1094</v>
      </c>
      <c r="Q590" s="405" t="s">
        <v>1094</v>
      </c>
      <c r="R590" s="405" t="s">
        <v>1094</v>
      </c>
      <c r="S590" s="405" t="s">
        <v>1094</v>
      </c>
      <c r="T590" s="405" t="s">
        <v>1094</v>
      </c>
      <c r="U590" s="405" t="s">
        <v>1094</v>
      </c>
    </row>
    <row r="591" spans="1:34">
      <c r="A591" s="529" t="s">
        <v>853</v>
      </c>
      <c r="B591" s="530" t="s">
        <v>11218</v>
      </c>
      <c r="C591" s="550" t="s">
        <v>8303</v>
      </c>
      <c r="D591" s="547" t="s">
        <v>883</v>
      </c>
      <c r="E591" s="547" t="s">
        <v>883</v>
      </c>
      <c r="F591" s="547" t="s">
        <v>883</v>
      </c>
      <c r="G591" s="547" t="s">
        <v>883</v>
      </c>
      <c r="H591" s="548" t="s">
        <v>883</v>
      </c>
      <c r="I591" s="547" t="s">
        <v>883</v>
      </c>
      <c r="J591" s="548" t="s">
        <v>883</v>
      </c>
      <c r="K591" s="416">
        <v>1.953125E-2</v>
      </c>
      <c r="L591" s="547" t="s">
        <v>1094</v>
      </c>
      <c r="M591" s="547" t="s">
        <v>1094</v>
      </c>
      <c r="N591" s="547" t="s">
        <v>1094</v>
      </c>
      <c r="O591" s="547" t="s">
        <v>1094</v>
      </c>
      <c r="P591" s="533" t="s">
        <v>1094</v>
      </c>
      <c r="Q591" s="547" t="s">
        <v>1094</v>
      </c>
      <c r="R591" s="547" t="s">
        <v>1094</v>
      </c>
      <c r="S591" s="547" t="s">
        <v>1094</v>
      </c>
      <c r="T591" s="547" t="s">
        <v>1094</v>
      </c>
      <c r="U591" s="547" t="s">
        <v>1094</v>
      </c>
    </row>
    <row r="592" spans="1:34">
      <c r="A592" s="242" t="s">
        <v>853</v>
      </c>
      <c r="B592" s="281" t="s">
        <v>433</v>
      </c>
      <c r="C592" s="121" t="s">
        <v>755</v>
      </c>
      <c r="D592" s="493" t="s">
        <v>883</v>
      </c>
      <c r="E592" s="493" t="s">
        <v>1094</v>
      </c>
      <c r="F592" s="493" t="s">
        <v>1094</v>
      </c>
      <c r="G592" s="283" t="s">
        <v>1094</v>
      </c>
      <c r="H592" s="283" t="s">
        <v>1094</v>
      </c>
      <c r="I592" s="283" t="s">
        <v>1094</v>
      </c>
      <c r="J592" s="283" t="s">
        <v>1094</v>
      </c>
      <c r="K592" s="416">
        <v>2.2499999999999999E-4</v>
      </c>
      <c r="L592" s="405" t="s">
        <v>1094</v>
      </c>
      <c r="M592" s="405" t="s">
        <v>1094</v>
      </c>
      <c r="N592" s="405" t="s">
        <v>1094</v>
      </c>
      <c r="O592" s="405" t="s">
        <v>1094</v>
      </c>
      <c r="P592" s="405" t="s">
        <v>1094</v>
      </c>
      <c r="Q592" s="405" t="s">
        <v>1094</v>
      </c>
      <c r="R592" s="405" t="s">
        <v>1094</v>
      </c>
      <c r="S592" s="405" t="s">
        <v>1094</v>
      </c>
      <c r="T592" s="405" t="s">
        <v>1094</v>
      </c>
      <c r="U592" s="405" t="s">
        <v>1094</v>
      </c>
    </row>
    <row r="593" spans="1:21">
      <c r="A593" s="242" t="s">
        <v>853</v>
      </c>
      <c r="B593" s="281" t="s">
        <v>434</v>
      </c>
      <c r="C593" s="122" t="s">
        <v>519</v>
      </c>
      <c r="D593" s="504" t="s">
        <v>1094</v>
      </c>
      <c r="E593" s="493" t="s">
        <v>1094</v>
      </c>
      <c r="F593" s="493" t="s">
        <v>883</v>
      </c>
      <c r="G593" s="283" t="s">
        <v>1094</v>
      </c>
      <c r="H593" s="283" t="s">
        <v>1094</v>
      </c>
      <c r="I593" s="493" t="s">
        <v>883</v>
      </c>
      <c r="J593" s="283" t="s">
        <v>1094</v>
      </c>
      <c r="K593" s="416">
        <v>5.7142857142857147E-4</v>
      </c>
      <c r="L593" s="493" t="s">
        <v>883</v>
      </c>
      <c r="M593" s="493" t="s">
        <v>883</v>
      </c>
      <c r="N593" s="493" t="s">
        <v>883</v>
      </c>
      <c r="O593" s="493" t="s">
        <v>883</v>
      </c>
      <c r="P593" s="493" t="s">
        <v>883</v>
      </c>
      <c r="Q593" s="493" t="s">
        <v>883</v>
      </c>
      <c r="R593" s="493" t="s">
        <v>883</v>
      </c>
      <c r="S593" s="405" t="s">
        <v>1094</v>
      </c>
      <c r="T593" s="493" t="s">
        <v>883</v>
      </c>
      <c r="U593" s="493" t="s">
        <v>883</v>
      </c>
    </row>
    <row r="594" spans="1:21">
      <c r="A594" s="242" t="s">
        <v>853</v>
      </c>
      <c r="B594" s="281" t="s">
        <v>1088</v>
      </c>
      <c r="C594" s="121" t="s">
        <v>662</v>
      </c>
      <c r="D594" s="493" t="s">
        <v>883</v>
      </c>
      <c r="E594" s="493" t="s">
        <v>883</v>
      </c>
      <c r="F594" s="493" t="s">
        <v>1094</v>
      </c>
      <c r="G594" s="283" t="s">
        <v>1094</v>
      </c>
      <c r="H594" s="283" t="s">
        <v>1094</v>
      </c>
      <c r="I594" s="283" t="s">
        <v>1094</v>
      </c>
      <c r="J594" s="493" t="s">
        <v>883</v>
      </c>
      <c r="K594" s="416">
        <v>7.2115384615384622E-5</v>
      </c>
      <c r="L594" s="405" t="s">
        <v>1094</v>
      </c>
      <c r="M594" s="405" t="s">
        <v>1094</v>
      </c>
      <c r="N594" s="405" t="s">
        <v>1094</v>
      </c>
      <c r="O594" s="405" t="s">
        <v>1094</v>
      </c>
      <c r="P594" s="405" t="s">
        <v>1094</v>
      </c>
      <c r="Q594" s="405" t="s">
        <v>1094</v>
      </c>
      <c r="R594" s="405" t="s">
        <v>1094</v>
      </c>
      <c r="S594" s="405" t="s">
        <v>1094</v>
      </c>
      <c r="T594" s="405" t="s">
        <v>1094</v>
      </c>
      <c r="U594" s="405" t="s">
        <v>1094</v>
      </c>
    </row>
    <row r="595" spans="1:21">
      <c r="A595" s="242" t="s">
        <v>853</v>
      </c>
      <c r="B595" s="281" t="s">
        <v>435</v>
      </c>
      <c r="C595" s="108" t="s">
        <v>248</v>
      </c>
      <c r="D595" s="493" t="s">
        <v>883</v>
      </c>
      <c r="E595" s="497" t="s">
        <v>1094</v>
      </c>
      <c r="F595" s="493" t="s">
        <v>883</v>
      </c>
      <c r="G595" s="283" t="s">
        <v>1094</v>
      </c>
      <c r="H595" s="283" t="s">
        <v>1094</v>
      </c>
      <c r="I595" s="493" t="s">
        <v>883</v>
      </c>
      <c r="J595" s="283" t="s">
        <v>1094</v>
      </c>
      <c r="K595" s="416">
        <v>2.1299999999999999E-3</v>
      </c>
      <c r="L595" s="493" t="s">
        <v>883</v>
      </c>
      <c r="M595" s="493" t="s">
        <v>883</v>
      </c>
      <c r="N595" s="493" t="s">
        <v>883</v>
      </c>
      <c r="O595" s="493" t="s">
        <v>883</v>
      </c>
      <c r="P595" s="405" t="s">
        <v>1094</v>
      </c>
      <c r="Q595" s="493" t="s">
        <v>883</v>
      </c>
      <c r="R595" s="493" t="s">
        <v>883</v>
      </c>
      <c r="S595" s="493" t="s">
        <v>883</v>
      </c>
      <c r="T595" s="493" t="s">
        <v>883</v>
      </c>
      <c r="U595" s="493" t="s">
        <v>883</v>
      </c>
    </row>
    <row r="596" spans="1:21">
      <c r="A596" s="337" t="s">
        <v>853</v>
      </c>
      <c r="B596" s="281" t="s">
        <v>1272</v>
      </c>
      <c r="C596" s="214" t="s">
        <v>229</v>
      </c>
      <c r="D596" s="492" t="s">
        <v>1094</v>
      </c>
      <c r="E596" s="492" t="s">
        <v>883</v>
      </c>
      <c r="F596" s="492" t="s">
        <v>883</v>
      </c>
      <c r="G596" s="492" t="s">
        <v>1094</v>
      </c>
      <c r="H596" s="492" t="s">
        <v>1094</v>
      </c>
      <c r="I596" s="492" t="s">
        <v>883</v>
      </c>
      <c r="J596" s="492" t="s">
        <v>883</v>
      </c>
      <c r="K596" s="416">
        <v>6.2500000000000003E-3</v>
      </c>
      <c r="L596" s="492" t="s">
        <v>883</v>
      </c>
      <c r="M596" s="492" t="s">
        <v>883</v>
      </c>
      <c r="N596" s="492" t="s">
        <v>883</v>
      </c>
      <c r="O596" s="492" t="s">
        <v>883</v>
      </c>
      <c r="P596" s="492" t="s">
        <v>1094</v>
      </c>
      <c r="Q596" s="492" t="s">
        <v>883</v>
      </c>
      <c r="R596" s="492" t="s">
        <v>883</v>
      </c>
      <c r="S596" s="492" t="s">
        <v>1094</v>
      </c>
      <c r="T596" s="492" t="s">
        <v>883</v>
      </c>
      <c r="U596" s="492" t="s">
        <v>883</v>
      </c>
    </row>
    <row r="597" spans="1:21">
      <c r="A597" s="242" t="s">
        <v>853</v>
      </c>
      <c r="B597" s="281" t="s">
        <v>510</v>
      </c>
      <c r="C597" s="121" t="s">
        <v>719</v>
      </c>
      <c r="D597" s="493" t="s">
        <v>1094</v>
      </c>
      <c r="E597" s="493" t="s">
        <v>1094</v>
      </c>
      <c r="F597" s="493" t="s">
        <v>883</v>
      </c>
      <c r="G597" s="493" t="s">
        <v>883</v>
      </c>
      <c r="H597" s="283" t="s">
        <v>1094</v>
      </c>
      <c r="I597" s="493" t="s">
        <v>883</v>
      </c>
      <c r="J597" s="283" t="s">
        <v>1094</v>
      </c>
      <c r="K597" s="416">
        <v>1.40625E-2</v>
      </c>
      <c r="L597" s="405" t="s">
        <v>1094</v>
      </c>
      <c r="M597" s="405" t="s">
        <v>1094</v>
      </c>
      <c r="N597" s="405" t="s">
        <v>1094</v>
      </c>
      <c r="O597" s="405" t="s">
        <v>1094</v>
      </c>
      <c r="P597" s="405" t="s">
        <v>1094</v>
      </c>
      <c r="Q597" s="405" t="s">
        <v>1094</v>
      </c>
      <c r="R597" s="405" t="s">
        <v>1094</v>
      </c>
      <c r="S597" s="405" t="s">
        <v>1094</v>
      </c>
      <c r="T597" s="405" t="s">
        <v>1094</v>
      </c>
      <c r="U597" s="405" t="s">
        <v>1094</v>
      </c>
    </row>
    <row r="598" spans="1:21">
      <c r="A598" s="242" t="s">
        <v>853</v>
      </c>
      <c r="B598" s="281" t="s">
        <v>436</v>
      </c>
      <c r="C598" s="121" t="s">
        <v>1082</v>
      </c>
      <c r="D598" s="493" t="s">
        <v>1094</v>
      </c>
      <c r="E598" s="493" t="s">
        <v>1094</v>
      </c>
      <c r="F598" s="493" t="s">
        <v>883</v>
      </c>
      <c r="G598" s="283" t="s">
        <v>1094</v>
      </c>
      <c r="H598" s="493" t="s">
        <v>1094</v>
      </c>
      <c r="I598" s="313" t="s">
        <v>883</v>
      </c>
      <c r="J598" s="493" t="s">
        <v>883</v>
      </c>
      <c r="K598" s="416">
        <v>7.9166666666666662E-5</v>
      </c>
      <c r="L598" s="405" t="s">
        <v>1094</v>
      </c>
      <c r="M598" s="405" t="s">
        <v>1094</v>
      </c>
      <c r="N598" s="405" t="s">
        <v>1094</v>
      </c>
      <c r="O598" s="405" t="s">
        <v>1094</v>
      </c>
      <c r="P598" s="405" t="s">
        <v>1094</v>
      </c>
      <c r="Q598" s="405" t="s">
        <v>1094</v>
      </c>
      <c r="R598" s="405" t="s">
        <v>1094</v>
      </c>
      <c r="S598" s="405" t="s">
        <v>1094</v>
      </c>
      <c r="T598" s="405" t="s">
        <v>1094</v>
      </c>
      <c r="U598" s="405" t="s">
        <v>1094</v>
      </c>
    </row>
    <row r="599" spans="1:21">
      <c r="A599" s="242" t="s">
        <v>853</v>
      </c>
      <c r="B599" s="281" t="s">
        <v>591</v>
      </c>
      <c r="C599" s="106" t="s">
        <v>590</v>
      </c>
      <c r="D599" s="493" t="s">
        <v>883</v>
      </c>
      <c r="E599" s="491" t="s">
        <v>1094</v>
      </c>
      <c r="F599" s="493" t="s">
        <v>883</v>
      </c>
      <c r="G599" s="493" t="s">
        <v>883</v>
      </c>
      <c r="H599" s="493" t="s">
        <v>883</v>
      </c>
      <c r="I599" s="493" t="s">
        <v>883</v>
      </c>
      <c r="J599" s="493" t="s">
        <v>1094</v>
      </c>
      <c r="K599" s="416">
        <v>3.0303030303030303E-3</v>
      </c>
      <c r="L599" s="493" t="s">
        <v>1094</v>
      </c>
      <c r="M599" s="493" t="s">
        <v>1094</v>
      </c>
      <c r="N599" s="493" t="s">
        <v>1094</v>
      </c>
      <c r="O599" s="493" t="s">
        <v>1094</v>
      </c>
      <c r="P599" s="493" t="s">
        <v>1094</v>
      </c>
      <c r="Q599" s="493" t="s">
        <v>1094</v>
      </c>
      <c r="R599" s="493" t="s">
        <v>1094</v>
      </c>
      <c r="S599" s="493" t="s">
        <v>1094</v>
      </c>
      <c r="T599" s="493" t="s">
        <v>1094</v>
      </c>
      <c r="U599" s="493" t="s">
        <v>1094</v>
      </c>
    </row>
    <row r="600" spans="1:21">
      <c r="A600" s="242" t="s">
        <v>853</v>
      </c>
      <c r="B600" s="281" t="s">
        <v>437</v>
      </c>
      <c r="C600" s="108" t="s">
        <v>225</v>
      </c>
      <c r="D600" s="497" t="s">
        <v>1094</v>
      </c>
      <c r="E600" s="493" t="s">
        <v>1094</v>
      </c>
      <c r="F600" s="493" t="s">
        <v>883</v>
      </c>
      <c r="G600" s="283" t="s">
        <v>1094</v>
      </c>
      <c r="H600" s="283" t="s">
        <v>1094</v>
      </c>
      <c r="I600" s="493" t="s">
        <v>883</v>
      </c>
      <c r="J600" s="493" t="s">
        <v>883</v>
      </c>
      <c r="K600" s="416">
        <v>1.5625E-4</v>
      </c>
      <c r="L600" s="493" t="s">
        <v>883</v>
      </c>
      <c r="M600" s="405" t="s">
        <v>1094</v>
      </c>
      <c r="N600" s="405" t="s">
        <v>1094</v>
      </c>
      <c r="O600" s="493" t="s">
        <v>883</v>
      </c>
      <c r="P600" s="405" t="s">
        <v>1094</v>
      </c>
      <c r="Q600" s="493" t="s">
        <v>883</v>
      </c>
      <c r="R600" s="405" t="s">
        <v>1094</v>
      </c>
      <c r="S600" s="405" t="s">
        <v>1094</v>
      </c>
      <c r="T600" s="405" t="s">
        <v>1094</v>
      </c>
      <c r="U600" s="493" t="s">
        <v>883</v>
      </c>
    </row>
    <row r="601" spans="1:21">
      <c r="A601" s="242" t="s">
        <v>853</v>
      </c>
      <c r="B601" s="281" t="s">
        <v>1311</v>
      </c>
      <c r="C601" s="121" t="s">
        <v>672</v>
      </c>
      <c r="D601" s="498" t="s">
        <v>883</v>
      </c>
      <c r="E601" s="493" t="s">
        <v>1094</v>
      </c>
      <c r="F601" s="493" t="s">
        <v>1094</v>
      </c>
      <c r="G601" s="283" t="s">
        <v>1094</v>
      </c>
      <c r="H601" s="283" t="s">
        <v>1094</v>
      </c>
      <c r="I601" s="493" t="s">
        <v>883</v>
      </c>
      <c r="J601" s="493" t="s">
        <v>1094</v>
      </c>
      <c r="K601" s="416">
        <v>5.1724137931034481E-5</v>
      </c>
      <c r="L601" s="493" t="s">
        <v>883</v>
      </c>
      <c r="M601" s="405" t="s">
        <v>1094</v>
      </c>
      <c r="N601" s="405" t="s">
        <v>1094</v>
      </c>
      <c r="O601" s="405" t="s">
        <v>1094</v>
      </c>
      <c r="P601" s="405" t="s">
        <v>1094</v>
      </c>
      <c r="Q601" s="493" t="s">
        <v>883</v>
      </c>
      <c r="R601" s="405" t="s">
        <v>1094</v>
      </c>
      <c r="S601" s="405" t="s">
        <v>1094</v>
      </c>
      <c r="T601" s="405" t="s">
        <v>1094</v>
      </c>
      <c r="U601" s="493" t="s">
        <v>883</v>
      </c>
    </row>
    <row r="602" spans="1:21">
      <c r="A602" s="242" t="s">
        <v>853</v>
      </c>
      <c r="B602" s="282" t="s">
        <v>438</v>
      </c>
      <c r="C602" s="121" t="s">
        <v>674</v>
      </c>
      <c r="D602" s="493" t="s">
        <v>883</v>
      </c>
      <c r="E602" s="493" t="s">
        <v>883</v>
      </c>
      <c r="F602" s="493" t="s">
        <v>1094</v>
      </c>
      <c r="G602" s="283" t="s">
        <v>1094</v>
      </c>
      <c r="H602" s="283" t="s">
        <v>1094</v>
      </c>
      <c r="I602" s="283" t="s">
        <v>1094</v>
      </c>
      <c r="J602" s="283" t="s">
        <v>1094</v>
      </c>
      <c r="K602" s="416">
        <v>7.4999999999999997E-3</v>
      </c>
      <c r="L602" s="405" t="s">
        <v>1094</v>
      </c>
      <c r="M602" s="405" t="s">
        <v>1094</v>
      </c>
      <c r="N602" s="405" t="s">
        <v>1094</v>
      </c>
      <c r="O602" s="405" t="s">
        <v>1094</v>
      </c>
      <c r="P602" s="405" t="s">
        <v>1094</v>
      </c>
      <c r="Q602" s="405" t="s">
        <v>1094</v>
      </c>
      <c r="R602" s="405" t="s">
        <v>1094</v>
      </c>
      <c r="S602" s="405" t="s">
        <v>1094</v>
      </c>
      <c r="T602" s="405" t="s">
        <v>1094</v>
      </c>
      <c r="U602" s="405" t="s">
        <v>1094</v>
      </c>
    </row>
    <row r="603" spans="1:21">
      <c r="A603" s="242" t="s">
        <v>853</v>
      </c>
      <c r="B603" s="388" t="s">
        <v>1300</v>
      </c>
      <c r="C603" s="389" t="s">
        <v>1316</v>
      </c>
      <c r="D603" s="493" t="s">
        <v>883</v>
      </c>
      <c r="E603" s="493" t="s">
        <v>883</v>
      </c>
      <c r="F603" s="493" t="s">
        <v>1094</v>
      </c>
      <c r="G603" s="283" t="s">
        <v>1094</v>
      </c>
      <c r="H603" s="283" t="s">
        <v>1094</v>
      </c>
      <c r="I603" s="283" t="s">
        <v>1094</v>
      </c>
      <c r="J603" s="493" t="s">
        <v>883</v>
      </c>
      <c r="K603" s="416">
        <v>1.9736842105263157E-4</v>
      </c>
      <c r="L603" s="493" t="s">
        <v>883</v>
      </c>
      <c r="M603" s="405" t="s">
        <v>1094</v>
      </c>
      <c r="N603" s="405" t="s">
        <v>1094</v>
      </c>
      <c r="O603" s="405" t="s">
        <v>1094</v>
      </c>
      <c r="P603" s="405" t="s">
        <v>1094</v>
      </c>
      <c r="Q603" s="493" t="s">
        <v>883</v>
      </c>
      <c r="R603" s="405" t="s">
        <v>1094</v>
      </c>
      <c r="S603" s="405" t="s">
        <v>1094</v>
      </c>
      <c r="T603" s="405" t="s">
        <v>1094</v>
      </c>
      <c r="U603" s="493" t="s">
        <v>883</v>
      </c>
    </row>
    <row r="604" spans="1:21">
      <c r="A604" s="242" t="s">
        <v>853</v>
      </c>
      <c r="B604" s="282" t="s">
        <v>439</v>
      </c>
      <c r="C604" s="108" t="s">
        <v>249</v>
      </c>
      <c r="D604" s="497" t="s">
        <v>1094</v>
      </c>
      <c r="E604" s="497" t="s">
        <v>1094</v>
      </c>
      <c r="F604" s="493" t="s">
        <v>883</v>
      </c>
      <c r="G604" s="283" t="s">
        <v>1094</v>
      </c>
      <c r="H604" s="283" t="s">
        <v>1094</v>
      </c>
      <c r="I604" s="493" t="s">
        <v>883</v>
      </c>
      <c r="J604" s="493" t="s">
        <v>1094</v>
      </c>
      <c r="K604" s="416">
        <v>2.6086956521739132E-3</v>
      </c>
      <c r="L604" s="493" t="s">
        <v>883</v>
      </c>
      <c r="M604" s="405" t="s">
        <v>1094</v>
      </c>
      <c r="N604" s="493" t="s">
        <v>883</v>
      </c>
      <c r="O604" s="405" t="s">
        <v>1094</v>
      </c>
      <c r="P604" s="493" t="s">
        <v>883</v>
      </c>
      <c r="Q604" s="405" t="s">
        <v>1094</v>
      </c>
      <c r="R604" s="405" t="s">
        <v>1094</v>
      </c>
      <c r="S604" s="405" t="s">
        <v>1094</v>
      </c>
      <c r="T604" s="405" t="s">
        <v>1094</v>
      </c>
      <c r="U604" s="493" t="s">
        <v>883</v>
      </c>
    </row>
    <row r="605" spans="1:21">
      <c r="A605" s="242" t="s">
        <v>853</v>
      </c>
      <c r="B605" s="282" t="s">
        <v>440</v>
      </c>
      <c r="C605" s="108" t="s">
        <v>259</v>
      </c>
      <c r="D605" s="497" t="s">
        <v>1094</v>
      </c>
      <c r="E605" s="493" t="s">
        <v>883</v>
      </c>
      <c r="F605" s="493" t="s">
        <v>883</v>
      </c>
      <c r="G605" s="283" t="s">
        <v>1094</v>
      </c>
      <c r="H605" s="493" t="s">
        <v>883</v>
      </c>
      <c r="I605" s="493" t="s">
        <v>883</v>
      </c>
      <c r="J605" s="493" t="s">
        <v>883</v>
      </c>
      <c r="K605" s="416">
        <v>5.8593749999999998E-4</v>
      </c>
      <c r="L605" s="493" t="s">
        <v>883</v>
      </c>
      <c r="M605" s="405" t="s">
        <v>1094</v>
      </c>
      <c r="N605" s="405" t="s">
        <v>1094</v>
      </c>
      <c r="O605" s="405" t="s">
        <v>1094</v>
      </c>
      <c r="P605" s="405" t="s">
        <v>1094</v>
      </c>
      <c r="Q605" s="405" t="s">
        <v>1094</v>
      </c>
      <c r="R605" s="493" t="s">
        <v>883</v>
      </c>
      <c r="S605" s="405" t="s">
        <v>1094</v>
      </c>
      <c r="T605" s="405" t="s">
        <v>1094</v>
      </c>
      <c r="U605" s="405" t="s">
        <v>1094</v>
      </c>
    </row>
    <row r="606" spans="1:21">
      <c r="A606" s="242" t="s">
        <v>853</v>
      </c>
      <c r="B606" s="282" t="s">
        <v>441</v>
      </c>
      <c r="C606" s="121" t="s">
        <v>656</v>
      </c>
      <c r="D606" s="492" t="s">
        <v>1094</v>
      </c>
      <c r="E606" s="492" t="s">
        <v>1094</v>
      </c>
      <c r="F606" s="493" t="s">
        <v>883</v>
      </c>
      <c r="G606" s="283" t="s">
        <v>1094</v>
      </c>
      <c r="H606" s="283" t="s">
        <v>1094</v>
      </c>
      <c r="I606" s="493" t="s">
        <v>883</v>
      </c>
      <c r="J606" s="493" t="s">
        <v>1094</v>
      </c>
      <c r="K606" s="416">
        <v>4.1666666666666669E-4</v>
      </c>
      <c r="L606" s="493" t="s">
        <v>883</v>
      </c>
      <c r="M606" s="405" t="s">
        <v>1094</v>
      </c>
      <c r="N606" s="405" t="s">
        <v>1094</v>
      </c>
      <c r="O606" s="405" t="s">
        <v>1094</v>
      </c>
      <c r="P606" s="405" t="s">
        <v>1094</v>
      </c>
      <c r="Q606" s="493" t="s">
        <v>883</v>
      </c>
      <c r="R606" s="493" t="s">
        <v>883</v>
      </c>
      <c r="S606" s="493" t="s">
        <v>883</v>
      </c>
      <c r="T606" s="493" t="s">
        <v>883</v>
      </c>
      <c r="U606" s="493" t="s">
        <v>883</v>
      </c>
    </row>
    <row r="607" spans="1:21">
      <c r="A607" s="242" t="s">
        <v>853</v>
      </c>
      <c r="B607" s="282" t="s">
        <v>442</v>
      </c>
      <c r="C607" s="108" t="s">
        <v>255</v>
      </c>
      <c r="D607" s="497" t="s">
        <v>1094</v>
      </c>
      <c r="E607" s="497" t="s">
        <v>1094</v>
      </c>
      <c r="F607" s="498" t="s">
        <v>883</v>
      </c>
      <c r="G607" s="283" t="s">
        <v>1094</v>
      </c>
      <c r="H607" s="283" t="s">
        <v>1094</v>
      </c>
      <c r="I607" s="493" t="s">
        <v>883</v>
      </c>
      <c r="J607" s="493" t="s">
        <v>883</v>
      </c>
      <c r="K607" s="416">
        <v>3.4298780487804876E-4</v>
      </c>
      <c r="L607" s="405" t="s">
        <v>1094</v>
      </c>
      <c r="M607" s="405" t="s">
        <v>1094</v>
      </c>
      <c r="N607" s="405" t="s">
        <v>1094</v>
      </c>
      <c r="O607" s="405" t="s">
        <v>1094</v>
      </c>
      <c r="P607" s="405" t="s">
        <v>1094</v>
      </c>
      <c r="Q607" s="405" t="s">
        <v>1094</v>
      </c>
      <c r="R607" s="405" t="s">
        <v>1094</v>
      </c>
      <c r="S607" s="405" t="s">
        <v>1094</v>
      </c>
      <c r="T607" s="405" t="s">
        <v>1094</v>
      </c>
      <c r="U607" s="405" t="s">
        <v>1094</v>
      </c>
    </row>
    <row r="608" spans="1:21">
      <c r="A608" s="242" t="s">
        <v>853</v>
      </c>
      <c r="B608" s="297" t="s">
        <v>1273</v>
      </c>
      <c r="C608" s="121" t="s">
        <v>1274</v>
      </c>
      <c r="D608" s="492" t="s">
        <v>1094</v>
      </c>
      <c r="E608" s="493" t="s">
        <v>883</v>
      </c>
      <c r="F608" s="493" t="s">
        <v>883</v>
      </c>
      <c r="G608" s="492" t="s">
        <v>1094</v>
      </c>
      <c r="H608" s="492" t="s">
        <v>1094</v>
      </c>
      <c r="I608" s="493" t="s">
        <v>883</v>
      </c>
      <c r="J608" s="493" t="s">
        <v>883</v>
      </c>
      <c r="K608" s="416">
        <v>4.1666666666666669E-4</v>
      </c>
      <c r="L608" s="493" t="s">
        <v>883</v>
      </c>
      <c r="M608" s="493" t="s">
        <v>883</v>
      </c>
      <c r="N608" s="492" t="s">
        <v>1094</v>
      </c>
      <c r="O608" s="493" t="s">
        <v>883</v>
      </c>
      <c r="P608" s="492" t="s">
        <v>1094</v>
      </c>
      <c r="Q608" s="493" t="s">
        <v>883</v>
      </c>
      <c r="R608" s="493" t="s">
        <v>883</v>
      </c>
      <c r="S608" s="493" t="s">
        <v>883</v>
      </c>
      <c r="T608" s="493" t="s">
        <v>883</v>
      </c>
      <c r="U608" s="493" t="s">
        <v>883</v>
      </c>
    </row>
    <row r="609" spans="1:21">
      <c r="A609" s="242" t="s">
        <v>853</v>
      </c>
      <c r="B609" s="282" t="s">
        <v>443</v>
      </c>
      <c r="C609" s="121" t="s">
        <v>625</v>
      </c>
      <c r="D609" s="493" t="s">
        <v>1094</v>
      </c>
      <c r="E609" s="493" t="s">
        <v>883</v>
      </c>
      <c r="F609" s="493" t="s">
        <v>883</v>
      </c>
      <c r="G609" s="283" t="s">
        <v>1094</v>
      </c>
      <c r="H609" s="493" t="s">
        <v>1094</v>
      </c>
      <c r="I609" s="493" t="s">
        <v>883</v>
      </c>
      <c r="J609" s="493" t="s">
        <v>883</v>
      </c>
      <c r="K609" s="416">
        <v>2.8846153846153848E-3</v>
      </c>
      <c r="L609" s="493" t="s">
        <v>883</v>
      </c>
      <c r="M609" s="493" t="s">
        <v>883</v>
      </c>
      <c r="N609" s="493" t="s">
        <v>883</v>
      </c>
      <c r="O609" s="493" t="s">
        <v>883</v>
      </c>
      <c r="P609" s="493" t="s">
        <v>883</v>
      </c>
      <c r="Q609" s="405" t="s">
        <v>1094</v>
      </c>
      <c r="R609" s="493" t="s">
        <v>883</v>
      </c>
      <c r="S609" s="493" t="s">
        <v>883</v>
      </c>
      <c r="T609" s="493" t="s">
        <v>883</v>
      </c>
      <c r="U609" s="493" t="s">
        <v>883</v>
      </c>
    </row>
    <row r="610" spans="1:21">
      <c r="A610" s="242" t="s">
        <v>853</v>
      </c>
      <c r="B610" s="297" t="s">
        <v>1276</v>
      </c>
      <c r="C610" s="121" t="s">
        <v>752</v>
      </c>
      <c r="D610" s="493" t="s">
        <v>883</v>
      </c>
      <c r="E610" s="493" t="s">
        <v>1094</v>
      </c>
      <c r="F610" s="493" t="s">
        <v>1094</v>
      </c>
      <c r="G610" s="283" t="s">
        <v>1094</v>
      </c>
      <c r="H610" s="283" t="s">
        <v>1094</v>
      </c>
      <c r="I610" s="283" t="s">
        <v>883</v>
      </c>
      <c r="J610" s="493" t="s">
        <v>1094</v>
      </c>
      <c r="K610" s="416">
        <v>7.4999999999999997E-3</v>
      </c>
      <c r="L610" s="493" t="s">
        <v>883</v>
      </c>
      <c r="M610" s="405" t="s">
        <v>1094</v>
      </c>
      <c r="N610" s="405" t="s">
        <v>1094</v>
      </c>
      <c r="O610" s="493" t="s">
        <v>883</v>
      </c>
      <c r="P610" s="493" t="s">
        <v>883</v>
      </c>
      <c r="Q610" s="493" t="s">
        <v>883</v>
      </c>
      <c r="R610" s="405" t="s">
        <v>1094</v>
      </c>
      <c r="S610" s="405" t="s">
        <v>1094</v>
      </c>
      <c r="T610" s="405" t="s">
        <v>1094</v>
      </c>
      <c r="U610" s="405" t="s">
        <v>1094</v>
      </c>
    </row>
    <row r="611" spans="1:21">
      <c r="A611" s="242" t="s">
        <v>853</v>
      </c>
      <c r="B611" s="282" t="s">
        <v>444</v>
      </c>
      <c r="C611" s="121" t="s">
        <v>535</v>
      </c>
      <c r="D611" s="493" t="s">
        <v>883</v>
      </c>
      <c r="E611" s="493" t="s">
        <v>883</v>
      </c>
      <c r="F611" s="493" t="s">
        <v>1094</v>
      </c>
      <c r="G611" s="283" t="s">
        <v>1094</v>
      </c>
      <c r="H611" s="283" t="s">
        <v>1094</v>
      </c>
      <c r="I611" s="283" t="s">
        <v>1094</v>
      </c>
      <c r="J611" s="493" t="s">
        <v>883</v>
      </c>
      <c r="K611" s="416">
        <v>3.5156249999999999E-4</v>
      </c>
      <c r="L611" s="493" t="s">
        <v>883</v>
      </c>
      <c r="M611" s="405" t="s">
        <v>1094</v>
      </c>
      <c r="N611" s="493" t="s">
        <v>883</v>
      </c>
      <c r="O611" s="405" t="s">
        <v>1094</v>
      </c>
      <c r="P611" s="405" t="s">
        <v>1094</v>
      </c>
      <c r="Q611" s="493" t="s">
        <v>883</v>
      </c>
      <c r="R611" s="405" t="s">
        <v>1094</v>
      </c>
      <c r="S611" s="405" t="s">
        <v>1094</v>
      </c>
      <c r="T611" s="493" t="s">
        <v>883</v>
      </c>
      <c r="U611" s="493" t="s">
        <v>883</v>
      </c>
    </row>
    <row r="612" spans="1:21">
      <c r="A612" s="242" t="s">
        <v>853</v>
      </c>
      <c r="B612" s="282" t="s">
        <v>1083</v>
      </c>
      <c r="C612" s="121" t="s">
        <v>729</v>
      </c>
      <c r="D612" s="493" t="s">
        <v>883</v>
      </c>
      <c r="E612" s="493" t="s">
        <v>1094</v>
      </c>
      <c r="F612" s="493" t="s">
        <v>1094</v>
      </c>
      <c r="G612" s="493" t="s">
        <v>883</v>
      </c>
      <c r="H612" s="283" t="s">
        <v>1094</v>
      </c>
      <c r="I612" s="283" t="s">
        <v>883</v>
      </c>
      <c r="J612" s="283" t="s">
        <v>1094</v>
      </c>
      <c r="K612" s="416">
        <v>9.5999999999999992E-3</v>
      </c>
      <c r="L612" s="405" t="s">
        <v>1094</v>
      </c>
      <c r="M612" s="405" t="s">
        <v>1094</v>
      </c>
      <c r="N612" s="405" t="s">
        <v>1094</v>
      </c>
      <c r="O612" s="405" t="s">
        <v>1094</v>
      </c>
      <c r="P612" s="405" t="s">
        <v>1094</v>
      </c>
      <c r="Q612" s="405" t="s">
        <v>1094</v>
      </c>
      <c r="R612" s="405" t="s">
        <v>1094</v>
      </c>
      <c r="S612" s="405" t="s">
        <v>1094</v>
      </c>
      <c r="T612" s="405" t="s">
        <v>1094</v>
      </c>
      <c r="U612" s="405" t="s">
        <v>1094</v>
      </c>
    </row>
    <row r="613" spans="1:21">
      <c r="A613" s="242" t="s">
        <v>853</v>
      </c>
      <c r="B613" s="297" t="s">
        <v>1277</v>
      </c>
      <c r="C613" s="121" t="s">
        <v>695</v>
      </c>
      <c r="D613" s="493" t="s">
        <v>883</v>
      </c>
      <c r="E613" s="493" t="s">
        <v>883</v>
      </c>
      <c r="F613" s="493" t="s">
        <v>1094</v>
      </c>
      <c r="G613" s="283" t="s">
        <v>1094</v>
      </c>
      <c r="H613" s="283" t="s">
        <v>1094</v>
      </c>
      <c r="I613" s="493" t="s">
        <v>883</v>
      </c>
      <c r="J613" s="493" t="s">
        <v>883</v>
      </c>
      <c r="K613" s="416">
        <v>4.0706152089815791E-3</v>
      </c>
      <c r="L613" s="493" t="s">
        <v>883</v>
      </c>
      <c r="M613" s="405" t="s">
        <v>1094</v>
      </c>
      <c r="N613" s="405" t="s">
        <v>1094</v>
      </c>
      <c r="O613" s="405" t="s">
        <v>1094</v>
      </c>
      <c r="P613" s="405" t="s">
        <v>1094</v>
      </c>
      <c r="Q613" s="493" t="s">
        <v>883</v>
      </c>
      <c r="R613" s="405" t="s">
        <v>1094</v>
      </c>
      <c r="S613" s="405" t="s">
        <v>1094</v>
      </c>
      <c r="T613" s="405" t="s">
        <v>1094</v>
      </c>
      <c r="U613" s="405" t="s">
        <v>1094</v>
      </c>
    </row>
    <row r="614" spans="1:21">
      <c r="A614" s="242" t="s">
        <v>853</v>
      </c>
      <c r="B614" s="282" t="s">
        <v>445</v>
      </c>
      <c r="C614" s="121" t="s">
        <v>711</v>
      </c>
      <c r="D614" s="493" t="s">
        <v>883</v>
      </c>
      <c r="E614" s="493" t="s">
        <v>883</v>
      </c>
      <c r="F614" s="493" t="s">
        <v>1094</v>
      </c>
      <c r="G614" s="283" t="s">
        <v>1094</v>
      </c>
      <c r="H614" s="283" t="s">
        <v>1094</v>
      </c>
      <c r="I614" s="283" t="s">
        <v>1094</v>
      </c>
      <c r="J614" s="493" t="s">
        <v>883</v>
      </c>
      <c r="K614" s="416">
        <v>1.7045454545454547E-4</v>
      </c>
      <c r="L614" s="493" t="s">
        <v>1094</v>
      </c>
      <c r="M614" s="405" t="s">
        <v>1094</v>
      </c>
      <c r="N614" s="493" t="s">
        <v>1094</v>
      </c>
      <c r="O614" s="405" t="s">
        <v>1094</v>
      </c>
      <c r="P614" s="405" t="s">
        <v>1094</v>
      </c>
      <c r="Q614" s="405" t="s">
        <v>1094</v>
      </c>
      <c r="R614" s="405" t="s">
        <v>1094</v>
      </c>
      <c r="S614" s="405" t="s">
        <v>1094</v>
      </c>
      <c r="T614" s="405" t="s">
        <v>1094</v>
      </c>
      <c r="U614" s="493" t="s">
        <v>1094</v>
      </c>
    </row>
    <row r="615" spans="1:21">
      <c r="A615" s="242" t="s">
        <v>853</v>
      </c>
      <c r="B615" s="282" t="s">
        <v>446</v>
      </c>
      <c r="C615" s="106" t="s">
        <v>880</v>
      </c>
      <c r="D615" s="493" t="s">
        <v>883</v>
      </c>
      <c r="E615" s="491" t="s">
        <v>883</v>
      </c>
      <c r="F615" s="491" t="s">
        <v>1094</v>
      </c>
      <c r="G615" s="283" t="s">
        <v>1094</v>
      </c>
      <c r="H615" s="493" t="s">
        <v>1094</v>
      </c>
      <c r="I615" s="283" t="s">
        <v>1094</v>
      </c>
      <c r="J615" s="493" t="s">
        <v>883</v>
      </c>
      <c r="K615" s="416">
        <v>2.3437499999999999E-3</v>
      </c>
      <c r="L615" s="405" t="s">
        <v>1094</v>
      </c>
      <c r="M615" s="405" t="s">
        <v>1094</v>
      </c>
      <c r="N615" s="405" t="s">
        <v>1094</v>
      </c>
      <c r="O615" s="405" t="s">
        <v>1094</v>
      </c>
      <c r="P615" s="405" t="s">
        <v>1094</v>
      </c>
      <c r="Q615" s="405" t="s">
        <v>1094</v>
      </c>
      <c r="R615" s="405" t="s">
        <v>1094</v>
      </c>
      <c r="S615" s="405" t="s">
        <v>1094</v>
      </c>
      <c r="T615" s="405" t="s">
        <v>1094</v>
      </c>
      <c r="U615" s="405" t="s">
        <v>1094</v>
      </c>
    </row>
    <row r="616" spans="1:21">
      <c r="A616" s="242" t="s">
        <v>853</v>
      </c>
      <c r="B616" s="282" t="s">
        <v>447</v>
      </c>
      <c r="C616" s="121" t="s">
        <v>744</v>
      </c>
      <c r="D616" s="493" t="s">
        <v>883</v>
      </c>
      <c r="E616" s="493" t="s">
        <v>883</v>
      </c>
      <c r="F616" s="493" t="s">
        <v>1094</v>
      </c>
      <c r="G616" s="283" t="s">
        <v>1094</v>
      </c>
      <c r="H616" s="283" t="s">
        <v>1094</v>
      </c>
      <c r="I616" s="283" t="s">
        <v>1094</v>
      </c>
      <c r="J616" s="283" t="s">
        <v>883</v>
      </c>
      <c r="K616" s="416">
        <v>8.4657508678992997E-5</v>
      </c>
      <c r="L616" s="493" t="s">
        <v>883</v>
      </c>
      <c r="M616" s="405" t="s">
        <v>1094</v>
      </c>
      <c r="N616" s="493" t="s">
        <v>883</v>
      </c>
      <c r="O616" s="405" t="s">
        <v>1094</v>
      </c>
      <c r="P616" s="405" t="s">
        <v>1094</v>
      </c>
      <c r="Q616" s="493" t="s">
        <v>883</v>
      </c>
      <c r="R616" s="405" t="s">
        <v>1094</v>
      </c>
      <c r="S616" s="405" t="s">
        <v>1094</v>
      </c>
      <c r="T616" s="493" t="s">
        <v>883</v>
      </c>
      <c r="U616" s="493" t="s">
        <v>883</v>
      </c>
    </row>
    <row r="617" spans="1:21">
      <c r="A617" s="242" t="s">
        <v>853</v>
      </c>
      <c r="B617" s="282" t="s">
        <v>448</v>
      </c>
      <c r="C617" s="122" t="s">
        <v>520</v>
      </c>
      <c r="D617" s="493" t="s">
        <v>883</v>
      </c>
      <c r="E617" s="493" t="s">
        <v>883</v>
      </c>
      <c r="F617" s="504" t="s">
        <v>1094</v>
      </c>
      <c r="G617" s="283" t="s">
        <v>1094</v>
      </c>
      <c r="H617" s="493" t="s">
        <v>1094</v>
      </c>
      <c r="I617" s="493" t="s">
        <v>1094</v>
      </c>
      <c r="J617" s="493" t="s">
        <v>883</v>
      </c>
      <c r="K617" s="416">
        <v>1.1428571428571429E-2</v>
      </c>
      <c r="L617" s="493" t="s">
        <v>883</v>
      </c>
      <c r="M617" s="405" t="s">
        <v>1094</v>
      </c>
      <c r="N617" s="405" t="s">
        <v>1094</v>
      </c>
      <c r="O617" s="405" t="s">
        <v>1094</v>
      </c>
      <c r="P617" s="405" t="s">
        <v>1094</v>
      </c>
      <c r="Q617" s="493" t="s">
        <v>883</v>
      </c>
      <c r="R617" s="493" t="s">
        <v>883</v>
      </c>
      <c r="S617" s="493" t="s">
        <v>883</v>
      </c>
      <c r="T617" s="493" t="s">
        <v>883</v>
      </c>
      <c r="U617" s="493" t="s">
        <v>883</v>
      </c>
    </row>
    <row r="618" spans="1:21">
      <c r="A618" s="242" t="s">
        <v>853</v>
      </c>
      <c r="B618" s="282" t="s">
        <v>449</v>
      </c>
      <c r="C618" s="121" t="s">
        <v>704</v>
      </c>
      <c r="D618" s="493" t="s">
        <v>883</v>
      </c>
      <c r="E618" s="493" t="s">
        <v>1094</v>
      </c>
      <c r="F618" s="493" t="s">
        <v>883</v>
      </c>
      <c r="G618" s="493" t="s">
        <v>883</v>
      </c>
      <c r="H618" s="493" t="s">
        <v>883</v>
      </c>
      <c r="I618" s="493" t="s">
        <v>883</v>
      </c>
      <c r="J618" s="283" t="s">
        <v>1094</v>
      </c>
      <c r="K618" s="416">
        <v>7.4999999999999997E-3</v>
      </c>
      <c r="L618" s="405" t="s">
        <v>1094</v>
      </c>
      <c r="M618" s="405" t="s">
        <v>1094</v>
      </c>
      <c r="N618" s="405" t="s">
        <v>1094</v>
      </c>
      <c r="O618" s="405" t="s">
        <v>1094</v>
      </c>
      <c r="P618" s="405" t="s">
        <v>1094</v>
      </c>
      <c r="Q618" s="405" t="s">
        <v>1094</v>
      </c>
      <c r="R618" s="405" t="s">
        <v>1094</v>
      </c>
      <c r="S618" s="405" t="s">
        <v>1094</v>
      </c>
      <c r="T618" s="405" t="s">
        <v>1094</v>
      </c>
      <c r="U618" s="405" t="s">
        <v>1094</v>
      </c>
    </row>
    <row r="619" spans="1:21">
      <c r="A619" s="242" t="s">
        <v>853</v>
      </c>
      <c r="B619" s="282" t="s">
        <v>782</v>
      </c>
      <c r="C619" s="108" t="s">
        <v>783</v>
      </c>
      <c r="D619" s="493" t="s">
        <v>883</v>
      </c>
      <c r="E619" s="493" t="s">
        <v>883</v>
      </c>
      <c r="F619" s="497" t="s">
        <v>1094</v>
      </c>
      <c r="G619" s="283" t="s">
        <v>883</v>
      </c>
      <c r="H619" s="493" t="s">
        <v>883</v>
      </c>
      <c r="I619" s="283" t="s">
        <v>1094</v>
      </c>
      <c r="J619" s="493" t="s">
        <v>883</v>
      </c>
      <c r="K619" s="416">
        <v>8.5227272727272723E-4</v>
      </c>
      <c r="L619" s="493" t="s">
        <v>883</v>
      </c>
      <c r="M619" s="405" t="s">
        <v>1094</v>
      </c>
      <c r="N619" s="493" t="s">
        <v>883</v>
      </c>
      <c r="O619" s="493" t="s">
        <v>883</v>
      </c>
      <c r="P619" s="405" t="s">
        <v>1094</v>
      </c>
      <c r="Q619" s="493" t="s">
        <v>883</v>
      </c>
      <c r="R619" s="493" t="s">
        <v>883</v>
      </c>
      <c r="S619" s="493" t="s">
        <v>883</v>
      </c>
      <c r="T619" s="405" t="s">
        <v>1094</v>
      </c>
      <c r="U619" s="405" t="s">
        <v>1094</v>
      </c>
    </row>
    <row r="620" spans="1:21">
      <c r="A620" s="242" t="s">
        <v>853</v>
      </c>
      <c r="B620" s="281" t="s">
        <v>1309</v>
      </c>
      <c r="C620" s="121" t="s">
        <v>648</v>
      </c>
      <c r="D620" s="493" t="s">
        <v>883</v>
      </c>
      <c r="E620" s="493" t="s">
        <v>1094</v>
      </c>
      <c r="F620" s="493" t="s">
        <v>883</v>
      </c>
      <c r="G620" s="283" t="s">
        <v>883</v>
      </c>
      <c r="H620" s="283" t="s">
        <v>1094</v>
      </c>
      <c r="I620" s="493" t="s">
        <v>883</v>
      </c>
      <c r="J620" s="283" t="s">
        <v>1094</v>
      </c>
      <c r="K620" s="416">
        <v>4.4642857142857141E-4</v>
      </c>
      <c r="L620" s="405" t="s">
        <v>1094</v>
      </c>
      <c r="M620" s="405" t="s">
        <v>1094</v>
      </c>
      <c r="N620" s="405" t="s">
        <v>1094</v>
      </c>
      <c r="O620" s="405" t="s">
        <v>1094</v>
      </c>
      <c r="P620" s="405" t="s">
        <v>1094</v>
      </c>
      <c r="Q620" s="405" t="s">
        <v>1094</v>
      </c>
      <c r="R620" s="405" t="s">
        <v>1094</v>
      </c>
      <c r="S620" s="405" t="s">
        <v>1094</v>
      </c>
      <c r="T620" s="405" t="s">
        <v>1094</v>
      </c>
      <c r="U620" s="405" t="s">
        <v>1094</v>
      </c>
    </row>
    <row r="621" spans="1:21">
      <c r="A621" s="242" t="s">
        <v>853</v>
      </c>
      <c r="B621" s="282" t="s">
        <v>450</v>
      </c>
      <c r="C621" s="121" t="s">
        <v>619</v>
      </c>
      <c r="D621" s="493" t="s">
        <v>883</v>
      </c>
      <c r="E621" s="493" t="s">
        <v>1094</v>
      </c>
      <c r="F621" s="493" t="s">
        <v>883</v>
      </c>
      <c r="G621" s="493" t="s">
        <v>883</v>
      </c>
      <c r="H621" s="283" t="s">
        <v>1094</v>
      </c>
      <c r="I621" s="493" t="s">
        <v>883</v>
      </c>
      <c r="J621" s="283" t="s">
        <v>1094</v>
      </c>
      <c r="K621" s="416">
        <v>1.1029411764705883E-4</v>
      </c>
      <c r="L621" s="405" t="s">
        <v>1094</v>
      </c>
      <c r="M621" s="405" t="s">
        <v>1094</v>
      </c>
      <c r="N621" s="405" t="s">
        <v>1094</v>
      </c>
      <c r="O621" s="405" t="s">
        <v>1094</v>
      </c>
      <c r="P621" s="405" t="s">
        <v>1094</v>
      </c>
      <c r="Q621" s="405" t="s">
        <v>1094</v>
      </c>
      <c r="R621" s="405" t="s">
        <v>1094</v>
      </c>
      <c r="S621" s="405" t="s">
        <v>1094</v>
      </c>
      <c r="T621" s="405" t="s">
        <v>1094</v>
      </c>
      <c r="U621" s="405" t="s">
        <v>1094</v>
      </c>
    </row>
    <row r="622" spans="1:21">
      <c r="A622" s="242" t="s">
        <v>853</v>
      </c>
      <c r="B622" s="282" t="s">
        <v>1278</v>
      </c>
      <c r="C622" s="121" t="s">
        <v>680</v>
      </c>
      <c r="D622" s="493" t="s">
        <v>1094</v>
      </c>
      <c r="E622" s="493" t="s">
        <v>1094</v>
      </c>
      <c r="F622" s="493" t="s">
        <v>883</v>
      </c>
      <c r="G622" s="283" t="s">
        <v>1094</v>
      </c>
      <c r="H622" s="283" t="s">
        <v>1094</v>
      </c>
      <c r="I622" s="493" t="s">
        <v>883</v>
      </c>
      <c r="J622" s="493" t="s">
        <v>883</v>
      </c>
      <c r="K622" s="416">
        <v>8.7890625000000002E-4</v>
      </c>
      <c r="L622" s="405" t="s">
        <v>1094</v>
      </c>
      <c r="M622" s="405" t="s">
        <v>1094</v>
      </c>
      <c r="N622" s="405" t="s">
        <v>1094</v>
      </c>
      <c r="O622" s="405" t="s">
        <v>1094</v>
      </c>
      <c r="P622" s="405" t="s">
        <v>1094</v>
      </c>
      <c r="Q622" s="405" t="s">
        <v>1094</v>
      </c>
      <c r="R622" s="405" t="s">
        <v>1094</v>
      </c>
      <c r="S622" s="405" t="s">
        <v>1094</v>
      </c>
      <c r="T622" s="405" t="s">
        <v>1094</v>
      </c>
      <c r="U622" s="405" t="s">
        <v>1094</v>
      </c>
    </row>
    <row r="623" spans="1:21">
      <c r="A623" s="242" t="s">
        <v>853</v>
      </c>
      <c r="B623" s="282" t="s">
        <v>451</v>
      </c>
      <c r="C623" s="121" t="s">
        <v>735</v>
      </c>
      <c r="D623" s="493" t="s">
        <v>883</v>
      </c>
      <c r="E623" s="493" t="s">
        <v>1094</v>
      </c>
      <c r="F623" s="493" t="s">
        <v>1094</v>
      </c>
      <c r="G623" s="493" t="s">
        <v>883</v>
      </c>
      <c r="H623" s="283" t="s">
        <v>1094</v>
      </c>
      <c r="I623" s="493" t="s">
        <v>883</v>
      </c>
      <c r="J623" s="283" t="s">
        <v>1094</v>
      </c>
      <c r="K623" s="416">
        <v>1.5285326086956523E-4</v>
      </c>
      <c r="L623" s="405" t="s">
        <v>1094</v>
      </c>
      <c r="M623" s="405" t="s">
        <v>1094</v>
      </c>
      <c r="N623" s="405" t="s">
        <v>1094</v>
      </c>
      <c r="O623" s="405" t="s">
        <v>1094</v>
      </c>
      <c r="P623" s="405" t="s">
        <v>1094</v>
      </c>
      <c r="Q623" s="405" t="s">
        <v>1094</v>
      </c>
      <c r="R623" s="405" t="s">
        <v>1094</v>
      </c>
      <c r="S623" s="405" t="s">
        <v>1094</v>
      </c>
      <c r="T623" s="405" t="s">
        <v>1094</v>
      </c>
      <c r="U623" s="405" t="s">
        <v>1094</v>
      </c>
    </row>
    <row r="624" spans="1:21">
      <c r="A624" s="242" t="s">
        <v>853</v>
      </c>
      <c r="B624" s="282" t="s">
        <v>452</v>
      </c>
      <c r="C624" s="121" t="s">
        <v>876</v>
      </c>
      <c r="D624" s="493" t="s">
        <v>1094</v>
      </c>
      <c r="E624" s="493" t="s">
        <v>1094</v>
      </c>
      <c r="F624" s="493" t="s">
        <v>883</v>
      </c>
      <c r="G624" s="283" t="s">
        <v>1094</v>
      </c>
      <c r="H624" s="493" t="s">
        <v>1094</v>
      </c>
      <c r="I624" s="493" t="s">
        <v>883</v>
      </c>
      <c r="J624" s="283" t="s">
        <v>1094</v>
      </c>
      <c r="K624" s="416">
        <v>4.8913043478260872E-5</v>
      </c>
      <c r="L624" s="405" t="s">
        <v>1094</v>
      </c>
      <c r="M624" s="405" t="s">
        <v>1094</v>
      </c>
      <c r="N624" s="405" t="s">
        <v>1094</v>
      </c>
      <c r="O624" s="405" t="s">
        <v>1094</v>
      </c>
      <c r="P624" s="405" t="s">
        <v>1094</v>
      </c>
      <c r="Q624" s="405" t="s">
        <v>1094</v>
      </c>
      <c r="R624" s="405" t="s">
        <v>1094</v>
      </c>
      <c r="S624" s="405" t="s">
        <v>1094</v>
      </c>
      <c r="T624" s="405" t="s">
        <v>1094</v>
      </c>
      <c r="U624" s="405" t="s">
        <v>1094</v>
      </c>
    </row>
    <row r="625" spans="1:21">
      <c r="A625" s="242" t="s">
        <v>853</v>
      </c>
      <c r="B625" s="282" t="s">
        <v>453</v>
      </c>
      <c r="C625" s="121" t="s">
        <v>589</v>
      </c>
      <c r="D625" s="493" t="s">
        <v>883</v>
      </c>
      <c r="E625" s="493" t="s">
        <v>883</v>
      </c>
      <c r="F625" s="493" t="s">
        <v>1094</v>
      </c>
      <c r="G625" s="283" t="s">
        <v>1094</v>
      </c>
      <c r="H625" s="283" t="s">
        <v>1094</v>
      </c>
      <c r="I625" s="283" t="s">
        <v>1094</v>
      </c>
      <c r="J625" s="493" t="s">
        <v>1094</v>
      </c>
      <c r="K625" s="416">
        <v>4.0000000000000001E-3</v>
      </c>
      <c r="L625" s="493" t="s">
        <v>883</v>
      </c>
      <c r="M625" s="405" t="s">
        <v>1094</v>
      </c>
      <c r="N625" s="493" t="s">
        <v>883</v>
      </c>
      <c r="O625" s="493" t="s">
        <v>883</v>
      </c>
      <c r="P625" s="493" t="s">
        <v>883</v>
      </c>
      <c r="Q625" s="493" t="s">
        <v>883</v>
      </c>
      <c r="R625" s="405" t="s">
        <v>1094</v>
      </c>
      <c r="S625" s="405" t="s">
        <v>1094</v>
      </c>
      <c r="T625" s="493" t="s">
        <v>883</v>
      </c>
      <c r="U625" s="493" t="s">
        <v>883</v>
      </c>
    </row>
    <row r="626" spans="1:21">
      <c r="A626" s="242" t="s">
        <v>853</v>
      </c>
      <c r="B626" s="282" t="s">
        <v>454</v>
      </c>
      <c r="C626" s="106" t="s">
        <v>793</v>
      </c>
      <c r="D626" s="491" t="s">
        <v>1094</v>
      </c>
      <c r="E626" s="493" t="s">
        <v>1094</v>
      </c>
      <c r="F626" s="493" t="s">
        <v>883</v>
      </c>
      <c r="G626" s="283" t="s">
        <v>1094</v>
      </c>
      <c r="H626" s="283" t="s">
        <v>1094</v>
      </c>
      <c r="I626" s="493" t="s">
        <v>883</v>
      </c>
      <c r="J626" s="283" t="s">
        <v>1094</v>
      </c>
      <c r="K626" s="416">
        <v>1.6741071428571428E-3</v>
      </c>
      <c r="L626" s="405" t="s">
        <v>1094</v>
      </c>
      <c r="M626" s="405" t="s">
        <v>1094</v>
      </c>
      <c r="N626" s="405" t="s">
        <v>1094</v>
      </c>
      <c r="O626" s="405" t="s">
        <v>1094</v>
      </c>
      <c r="P626" s="405" t="s">
        <v>1094</v>
      </c>
      <c r="Q626" s="405" t="s">
        <v>1094</v>
      </c>
      <c r="R626" s="405" t="s">
        <v>1094</v>
      </c>
      <c r="S626" s="405" t="s">
        <v>1094</v>
      </c>
      <c r="T626" s="405" t="s">
        <v>1094</v>
      </c>
      <c r="U626" s="405" t="s">
        <v>1094</v>
      </c>
    </row>
    <row r="627" spans="1:21">
      <c r="A627" s="242" t="s">
        <v>853</v>
      </c>
      <c r="B627" s="282" t="s">
        <v>455</v>
      </c>
      <c r="C627" s="121" t="s">
        <v>646</v>
      </c>
      <c r="D627" s="493" t="s">
        <v>1094</v>
      </c>
      <c r="E627" s="493" t="s">
        <v>1094</v>
      </c>
      <c r="F627" s="493" t="s">
        <v>883</v>
      </c>
      <c r="G627" s="283" t="s">
        <v>1094</v>
      </c>
      <c r="H627" s="283" t="s">
        <v>1094</v>
      </c>
      <c r="I627" s="493" t="s">
        <v>883</v>
      </c>
      <c r="J627" s="493" t="s">
        <v>1094</v>
      </c>
      <c r="K627" s="416">
        <v>1.875E-4</v>
      </c>
      <c r="L627" s="405" t="s">
        <v>1094</v>
      </c>
      <c r="M627" s="405" t="s">
        <v>1094</v>
      </c>
      <c r="N627" s="405" t="s">
        <v>1094</v>
      </c>
      <c r="O627" s="405" t="s">
        <v>1094</v>
      </c>
      <c r="P627" s="405" t="s">
        <v>1094</v>
      </c>
      <c r="Q627" s="405" t="s">
        <v>1094</v>
      </c>
      <c r="R627" s="405" t="s">
        <v>1094</v>
      </c>
      <c r="S627" s="405" t="s">
        <v>1094</v>
      </c>
      <c r="T627" s="405" t="s">
        <v>1094</v>
      </c>
      <c r="U627" s="405" t="s">
        <v>1094</v>
      </c>
    </row>
    <row r="628" spans="1:21">
      <c r="A628" s="242" t="s">
        <v>853</v>
      </c>
      <c r="B628" s="282" t="s">
        <v>456</v>
      </c>
      <c r="C628" s="121" t="s">
        <v>627</v>
      </c>
      <c r="D628" s="498" t="s">
        <v>883</v>
      </c>
      <c r="E628" s="493" t="s">
        <v>1094</v>
      </c>
      <c r="F628" s="493" t="s">
        <v>883</v>
      </c>
      <c r="G628" s="283" t="s">
        <v>1094</v>
      </c>
      <c r="H628" s="283" t="s">
        <v>1094</v>
      </c>
      <c r="I628" s="493" t="s">
        <v>883</v>
      </c>
      <c r="J628" s="493" t="s">
        <v>1094</v>
      </c>
      <c r="K628" s="416">
        <v>1.0044642857142856E-3</v>
      </c>
      <c r="L628" s="493" t="s">
        <v>883</v>
      </c>
      <c r="M628" s="405" t="s">
        <v>1094</v>
      </c>
      <c r="N628" s="493" t="s">
        <v>883</v>
      </c>
      <c r="O628" s="493" t="s">
        <v>883</v>
      </c>
      <c r="P628" s="493" t="s">
        <v>883</v>
      </c>
      <c r="Q628" s="493" t="s">
        <v>883</v>
      </c>
      <c r="R628" s="405" t="s">
        <v>1094</v>
      </c>
      <c r="S628" s="405" t="s">
        <v>1094</v>
      </c>
      <c r="T628" s="405" t="s">
        <v>1094</v>
      </c>
      <c r="U628" s="493" t="s">
        <v>883</v>
      </c>
    </row>
    <row r="629" spans="1:21">
      <c r="A629" s="242" t="s">
        <v>853</v>
      </c>
      <c r="B629" s="282" t="s">
        <v>457</v>
      </c>
      <c r="C629" s="106" t="s">
        <v>797</v>
      </c>
      <c r="D629" s="491" t="s">
        <v>1094</v>
      </c>
      <c r="E629" s="493" t="s">
        <v>1094</v>
      </c>
      <c r="F629" s="493" t="s">
        <v>883</v>
      </c>
      <c r="G629" s="283" t="s">
        <v>1094</v>
      </c>
      <c r="H629" s="493" t="s">
        <v>1094</v>
      </c>
      <c r="I629" s="493" t="s">
        <v>883</v>
      </c>
      <c r="J629" s="493" t="s">
        <v>883</v>
      </c>
      <c r="K629" s="416">
        <v>8.6956521739130441E-5</v>
      </c>
      <c r="L629" s="493" t="s">
        <v>883</v>
      </c>
      <c r="M629" s="405" t="s">
        <v>1094</v>
      </c>
      <c r="N629" s="405" t="s">
        <v>1094</v>
      </c>
      <c r="O629" s="493" t="s">
        <v>883</v>
      </c>
      <c r="P629" s="405" t="s">
        <v>1094</v>
      </c>
      <c r="Q629" s="493" t="s">
        <v>883</v>
      </c>
      <c r="R629" s="405" t="s">
        <v>1094</v>
      </c>
      <c r="S629" s="405" t="s">
        <v>1094</v>
      </c>
      <c r="T629" s="493" t="s">
        <v>883</v>
      </c>
      <c r="U629" s="493" t="s">
        <v>883</v>
      </c>
    </row>
    <row r="630" spans="1:21">
      <c r="A630" s="242" t="s">
        <v>853</v>
      </c>
      <c r="B630" s="282" t="s">
        <v>458</v>
      </c>
      <c r="C630" s="121" t="s">
        <v>536</v>
      </c>
      <c r="D630" s="493" t="s">
        <v>883</v>
      </c>
      <c r="E630" s="493" t="s">
        <v>883</v>
      </c>
      <c r="F630" s="493" t="s">
        <v>1094</v>
      </c>
      <c r="G630" s="283" t="s">
        <v>1094</v>
      </c>
      <c r="H630" s="283" t="s">
        <v>1094</v>
      </c>
      <c r="I630" s="283" t="s">
        <v>1094</v>
      </c>
      <c r="J630" s="493" t="s">
        <v>883</v>
      </c>
      <c r="K630" s="416">
        <v>2.4390243902439024E-3</v>
      </c>
      <c r="L630" s="493" t="s">
        <v>883</v>
      </c>
      <c r="M630" s="405" t="s">
        <v>1094</v>
      </c>
      <c r="N630" s="493" t="s">
        <v>883</v>
      </c>
      <c r="O630" s="405" t="s">
        <v>1094</v>
      </c>
      <c r="P630" s="405" t="s">
        <v>1094</v>
      </c>
      <c r="Q630" s="405" t="s">
        <v>1094</v>
      </c>
      <c r="R630" s="493" t="s">
        <v>883</v>
      </c>
      <c r="S630" s="405" t="s">
        <v>1094</v>
      </c>
      <c r="T630" s="493" t="s">
        <v>883</v>
      </c>
      <c r="U630" s="493" t="s">
        <v>883</v>
      </c>
    </row>
    <row r="631" spans="1:21">
      <c r="A631" s="242" t="s">
        <v>853</v>
      </c>
      <c r="B631" s="282" t="s">
        <v>459</v>
      </c>
      <c r="C631" s="122" t="s">
        <v>521</v>
      </c>
      <c r="D631" s="504" t="s">
        <v>1094</v>
      </c>
      <c r="E631" s="337" t="s">
        <v>1094</v>
      </c>
      <c r="F631" s="493" t="s">
        <v>883</v>
      </c>
      <c r="G631" s="283" t="s">
        <v>1094</v>
      </c>
      <c r="H631" s="283" t="s">
        <v>1094</v>
      </c>
      <c r="I631" s="493" t="s">
        <v>883</v>
      </c>
      <c r="J631" s="283" t="s">
        <v>1094</v>
      </c>
      <c r="K631" s="416">
        <v>2.6667187500000002E-2</v>
      </c>
      <c r="L631" s="493" t="s">
        <v>883</v>
      </c>
      <c r="M631" s="405" t="s">
        <v>1094</v>
      </c>
      <c r="N631" s="493" t="s">
        <v>883</v>
      </c>
      <c r="O631" s="405" t="s">
        <v>1094</v>
      </c>
      <c r="P631" s="405" t="s">
        <v>1094</v>
      </c>
      <c r="Q631" s="405" t="s">
        <v>1094</v>
      </c>
      <c r="R631" s="493" t="s">
        <v>883</v>
      </c>
      <c r="S631" s="405" t="s">
        <v>1094</v>
      </c>
      <c r="T631" s="493" t="s">
        <v>883</v>
      </c>
      <c r="U631" s="493" t="s">
        <v>883</v>
      </c>
    </row>
    <row r="632" spans="1:21">
      <c r="A632" s="529" t="s">
        <v>853</v>
      </c>
      <c r="B632" s="530" t="s">
        <v>11159</v>
      </c>
      <c r="C632" s="552" t="s">
        <v>5013</v>
      </c>
      <c r="D632" s="553" t="s">
        <v>883</v>
      </c>
      <c r="E632" s="547" t="s">
        <v>883</v>
      </c>
      <c r="F632" s="547" t="s">
        <v>1094</v>
      </c>
      <c r="G632" s="548" t="s">
        <v>883</v>
      </c>
      <c r="H632" s="548" t="s">
        <v>883</v>
      </c>
      <c r="I632" s="547" t="s">
        <v>1094</v>
      </c>
      <c r="J632" s="547" t="s">
        <v>883</v>
      </c>
      <c r="K632" s="533">
        <v>7.4766355140186921E-5</v>
      </c>
      <c r="L632" s="547" t="s">
        <v>883</v>
      </c>
      <c r="M632" s="533" t="s">
        <v>883</v>
      </c>
      <c r="N632" s="533" t="s">
        <v>883</v>
      </c>
      <c r="O632" s="547" t="s">
        <v>883</v>
      </c>
      <c r="P632" s="533" t="s">
        <v>1094</v>
      </c>
      <c r="Q632" s="547" t="s">
        <v>1094</v>
      </c>
      <c r="R632" s="547" t="s">
        <v>883</v>
      </c>
      <c r="S632" s="533" t="s">
        <v>1094</v>
      </c>
      <c r="T632" s="547" t="s">
        <v>1094</v>
      </c>
      <c r="U632" s="547" t="s">
        <v>883</v>
      </c>
    </row>
    <row r="633" spans="1:21">
      <c r="A633" s="242" t="s">
        <v>853</v>
      </c>
      <c r="B633" s="297" t="s">
        <v>1279</v>
      </c>
      <c r="C633" s="121" t="s">
        <v>770</v>
      </c>
      <c r="D633" s="493" t="s">
        <v>1094</v>
      </c>
      <c r="E633" s="493" t="s">
        <v>1094</v>
      </c>
      <c r="F633" s="493" t="s">
        <v>883</v>
      </c>
      <c r="G633" s="283" t="s">
        <v>1094</v>
      </c>
      <c r="H633" s="283" t="s">
        <v>1094</v>
      </c>
      <c r="I633" s="493" t="s">
        <v>883</v>
      </c>
      <c r="J633" s="493" t="s">
        <v>1094</v>
      </c>
      <c r="K633" s="416">
        <v>4.0000000000000003E-5</v>
      </c>
      <c r="L633" s="493" t="s">
        <v>883</v>
      </c>
      <c r="M633" s="405" t="s">
        <v>1094</v>
      </c>
      <c r="N633" s="405" t="s">
        <v>1094</v>
      </c>
      <c r="O633" s="405" t="s">
        <v>1094</v>
      </c>
      <c r="P633" s="493" t="s">
        <v>883</v>
      </c>
      <c r="Q633" s="405" t="s">
        <v>1094</v>
      </c>
      <c r="R633" s="493" t="s">
        <v>883</v>
      </c>
      <c r="S633" s="405" t="s">
        <v>1094</v>
      </c>
      <c r="T633" s="493" t="s">
        <v>883</v>
      </c>
      <c r="U633" s="405" t="s">
        <v>1094</v>
      </c>
    </row>
    <row r="634" spans="1:21">
      <c r="A634" s="242" t="s">
        <v>853</v>
      </c>
      <c r="B634" s="282" t="s">
        <v>460</v>
      </c>
      <c r="C634" s="121" t="s">
        <v>705</v>
      </c>
      <c r="D634" s="493" t="s">
        <v>1094</v>
      </c>
      <c r="E634" s="493" t="s">
        <v>1094</v>
      </c>
      <c r="F634" s="493" t="s">
        <v>883</v>
      </c>
      <c r="G634" s="283" t="s">
        <v>1094</v>
      </c>
      <c r="H634" s="283" t="s">
        <v>1094</v>
      </c>
      <c r="I634" s="493" t="s">
        <v>883</v>
      </c>
      <c r="J634" s="493" t="s">
        <v>1094</v>
      </c>
      <c r="K634" s="416">
        <v>5.0000000000000001E-4</v>
      </c>
      <c r="L634" s="405" t="s">
        <v>1094</v>
      </c>
      <c r="M634" s="405" t="s">
        <v>1094</v>
      </c>
      <c r="N634" s="405" t="s">
        <v>1094</v>
      </c>
      <c r="O634" s="405" t="s">
        <v>1094</v>
      </c>
      <c r="P634" s="405" t="s">
        <v>1094</v>
      </c>
      <c r="Q634" s="405" t="s">
        <v>1094</v>
      </c>
      <c r="R634" s="405" t="s">
        <v>1094</v>
      </c>
      <c r="S634" s="405" t="s">
        <v>1094</v>
      </c>
      <c r="T634" s="405" t="s">
        <v>1094</v>
      </c>
      <c r="U634" s="405" t="s">
        <v>1094</v>
      </c>
    </row>
    <row r="635" spans="1:21">
      <c r="A635" s="242" t="s">
        <v>853</v>
      </c>
      <c r="B635" s="282" t="s">
        <v>461</v>
      </c>
      <c r="C635" s="122" t="s">
        <v>522</v>
      </c>
      <c r="D635" s="493" t="s">
        <v>883</v>
      </c>
      <c r="E635" s="504" t="s">
        <v>1094</v>
      </c>
      <c r="F635" s="493" t="s">
        <v>883</v>
      </c>
      <c r="G635" s="493" t="s">
        <v>883</v>
      </c>
      <c r="H635" s="493" t="s">
        <v>883</v>
      </c>
      <c r="I635" s="493" t="s">
        <v>883</v>
      </c>
      <c r="J635" s="283" t="s">
        <v>1094</v>
      </c>
      <c r="K635" s="416">
        <v>7.9166666666666673E-3</v>
      </c>
      <c r="L635" s="405" t="s">
        <v>1094</v>
      </c>
      <c r="M635" s="405" t="s">
        <v>1094</v>
      </c>
      <c r="N635" s="405" t="s">
        <v>1094</v>
      </c>
      <c r="O635" s="405" t="s">
        <v>1094</v>
      </c>
      <c r="P635" s="405" t="s">
        <v>1094</v>
      </c>
      <c r="Q635" s="405" t="s">
        <v>1094</v>
      </c>
      <c r="R635" s="405" t="s">
        <v>1094</v>
      </c>
      <c r="S635" s="405" t="s">
        <v>1094</v>
      </c>
      <c r="T635" s="405" t="s">
        <v>1094</v>
      </c>
      <c r="U635" s="405" t="s">
        <v>1094</v>
      </c>
    </row>
    <row r="636" spans="1:21">
      <c r="A636" s="242" t="s">
        <v>853</v>
      </c>
      <c r="B636" s="292" t="s">
        <v>2</v>
      </c>
      <c r="C636" s="121" t="s">
        <v>598</v>
      </c>
      <c r="D636" s="493" t="s">
        <v>883</v>
      </c>
      <c r="E636" s="493" t="s">
        <v>1094</v>
      </c>
      <c r="F636" s="493" t="s">
        <v>883</v>
      </c>
      <c r="G636" s="493" t="s">
        <v>883</v>
      </c>
      <c r="H636" s="283" t="s">
        <v>1094</v>
      </c>
      <c r="I636" s="493" t="s">
        <v>883</v>
      </c>
      <c r="J636" s="283" t="s">
        <v>1094</v>
      </c>
      <c r="K636" s="416">
        <v>1.3392857142857142E-2</v>
      </c>
      <c r="L636" s="493" t="s">
        <v>883</v>
      </c>
      <c r="M636" s="405" t="s">
        <v>1094</v>
      </c>
      <c r="N636" s="405" t="s">
        <v>1094</v>
      </c>
      <c r="O636" s="405" t="s">
        <v>1094</v>
      </c>
      <c r="P636" s="493" t="s">
        <v>883</v>
      </c>
      <c r="Q636" s="405" t="s">
        <v>1094</v>
      </c>
      <c r="R636" s="405" t="s">
        <v>1094</v>
      </c>
      <c r="S636" s="405" t="s">
        <v>1094</v>
      </c>
      <c r="T636" s="493" t="s">
        <v>883</v>
      </c>
      <c r="U636" s="405" t="s">
        <v>1094</v>
      </c>
    </row>
    <row r="637" spans="1:21">
      <c r="A637" s="242" t="s">
        <v>853</v>
      </c>
      <c r="B637" s="282" t="s">
        <v>462</v>
      </c>
      <c r="C637" s="121" t="s">
        <v>624</v>
      </c>
      <c r="D637" s="493" t="s">
        <v>883</v>
      </c>
      <c r="E637" s="493" t="s">
        <v>883</v>
      </c>
      <c r="F637" s="493" t="s">
        <v>1094</v>
      </c>
      <c r="G637" s="283" t="s">
        <v>1094</v>
      </c>
      <c r="H637" s="283" t="s">
        <v>1094</v>
      </c>
      <c r="I637" s="283" t="s">
        <v>1094</v>
      </c>
      <c r="J637" s="493" t="s">
        <v>883</v>
      </c>
      <c r="K637" s="416">
        <v>1.5625000000000001E-3</v>
      </c>
      <c r="L637" s="405" t="s">
        <v>1094</v>
      </c>
      <c r="M637" s="405" t="s">
        <v>1094</v>
      </c>
      <c r="N637" s="405" t="s">
        <v>1094</v>
      </c>
      <c r="O637" s="405" t="s">
        <v>1094</v>
      </c>
      <c r="P637" s="405" t="s">
        <v>1094</v>
      </c>
      <c r="Q637" s="405" t="s">
        <v>1094</v>
      </c>
      <c r="R637" s="405" t="s">
        <v>1094</v>
      </c>
      <c r="S637" s="405" t="s">
        <v>1094</v>
      </c>
      <c r="T637" s="405" t="s">
        <v>1094</v>
      </c>
      <c r="U637" s="405" t="s">
        <v>1094</v>
      </c>
    </row>
    <row r="638" spans="1:21">
      <c r="A638" s="242" t="s">
        <v>853</v>
      </c>
      <c r="B638" s="282" t="s">
        <v>463</v>
      </c>
      <c r="C638" s="121" t="s">
        <v>692</v>
      </c>
      <c r="D638" s="493" t="s">
        <v>883</v>
      </c>
      <c r="E638" s="493" t="s">
        <v>883</v>
      </c>
      <c r="F638" s="493" t="s">
        <v>1094</v>
      </c>
      <c r="G638" s="283" t="s">
        <v>1094</v>
      </c>
      <c r="H638" s="493" t="s">
        <v>883</v>
      </c>
      <c r="I638" s="283" t="s">
        <v>1094</v>
      </c>
      <c r="J638" s="493" t="s">
        <v>883</v>
      </c>
      <c r="K638" s="416">
        <v>1.0817307692307693E-4</v>
      </c>
      <c r="L638" s="405" t="s">
        <v>1094</v>
      </c>
      <c r="M638" s="405" t="s">
        <v>1094</v>
      </c>
      <c r="N638" s="405" t="s">
        <v>1094</v>
      </c>
      <c r="O638" s="405" t="s">
        <v>1094</v>
      </c>
      <c r="P638" s="405" t="s">
        <v>1094</v>
      </c>
      <c r="Q638" s="405" t="s">
        <v>1094</v>
      </c>
      <c r="R638" s="405" t="s">
        <v>1094</v>
      </c>
      <c r="S638" s="405" t="s">
        <v>1094</v>
      </c>
      <c r="T638" s="405" t="s">
        <v>1094</v>
      </c>
      <c r="U638" s="405" t="s">
        <v>1094</v>
      </c>
    </row>
    <row r="639" spans="1:21">
      <c r="A639" s="242" t="s">
        <v>853</v>
      </c>
      <c r="B639" s="282" t="s">
        <v>464</v>
      </c>
      <c r="C639" s="121" t="s">
        <v>613</v>
      </c>
      <c r="D639" s="492" t="s">
        <v>883</v>
      </c>
      <c r="E639" s="492" t="s">
        <v>883</v>
      </c>
      <c r="F639" s="492" t="s">
        <v>1094</v>
      </c>
      <c r="G639" s="414" t="s">
        <v>883</v>
      </c>
      <c r="H639" s="492" t="s">
        <v>883</v>
      </c>
      <c r="I639" s="414" t="s">
        <v>1094</v>
      </c>
      <c r="J639" s="492" t="s">
        <v>883</v>
      </c>
      <c r="K639" s="416">
        <v>7.8125000000000002E-5</v>
      </c>
      <c r="L639" s="405" t="s">
        <v>1094</v>
      </c>
      <c r="M639" s="405" t="s">
        <v>1094</v>
      </c>
      <c r="N639" s="405" t="s">
        <v>1094</v>
      </c>
      <c r="O639" s="405" t="s">
        <v>1094</v>
      </c>
      <c r="P639" s="405" t="s">
        <v>1094</v>
      </c>
      <c r="Q639" s="405" t="s">
        <v>1094</v>
      </c>
      <c r="R639" s="405" t="s">
        <v>1094</v>
      </c>
      <c r="S639" s="405" t="s">
        <v>1094</v>
      </c>
      <c r="T639" s="405" t="s">
        <v>1094</v>
      </c>
      <c r="U639" s="405" t="s">
        <v>1094</v>
      </c>
    </row>
    <row r="640" spans="1:21">
      <c r="A640" s="242" t="s">
        <v>853</v>
      </c>
      <c r="B640" s="282" t="s">
        <v>465</v>
      </c>
      <c r="C640" s="108" t="s">
        <v>243</v>
      </c>
      <c r="D640" s="493" t="s">
        <v>883</v>
      </c>
      <c r="E640" s="497" t="s">
        <v>883</v>
      </c>
      <c r="F640" s="497" t="s">
        <v>1094</v>
      </c>
      <c r="G640" s="283" t="s">
        <v>1094</v>
      </c>
      <c r="H640" s="283" t="s">
        <v>1094</v>
      </c>
      <c r="I640" s="283" t="s">
        <v>1094</v>
      </c>
      <c r="J640" s="493" t="s">
        <v>883</v>
      </c>
      <c r="K640" s="416">
        <v>5.1282051282051282E-3</v>
      </c>
      <c r="L640" s="405" t="s">
        <v>1094</v>
      </c>
      <c r="M640" s="405" t="s">
        <v>1094</v>
      </c>
      <c r="N640" s="405" t="s">
        <v>1094</v>
      </c>
      <c r="O640" s="405" t="s">
        <v>1094</v>
      </c>
      <c r="P640" s="405" t="s">
        <v>1094</v>
      </c>
      <c r="Q640" s="405" t="s">
        <v>1094</v>
      </c>
      <c r="R640" s="405" t="s">
        <v>1094</v>
      </c>
      <c r="S640" s="405" t="s">
        <v>1094</v>
      </c>
      <c r="T640" s="405" t="s">
        <v>1094</v>
      </c>
      <c r="U640" s="405" t="s">
        <v>1094</v>
      </c>
    </row>
    <row r="641" spans="1:21">
      <c r="A641" s="242" t="s">
        <v>853</v>
      </c>
      <c r="B641" s="282" t="s">
        <v>466</v>
      </c>
      <c r="C641" s="108" t="s">
        <v>234</v>
      </c>
      <c r="D641" s="497" t="s">
        <v>1094</v>
      </c>
      <c r="E641" s="493" t="s">
        <v>1094</v>
      </c>
      <c r="F641" s="493" t="s">
        <v>883</v>
      </c>
      <c r="G641" s="283" t="s">
        <v>1094</v>
      </c>
      <c r="H641" s="283" t="s">
        <v>1094</v>
      </c>
      <c r="I641" s="493" t="s">
        <v>883</v>
      </c>
      <c r="J641" s="493" t="s">
        <v>1094</v>
      </c>
      <c r="K641" s="416">
        <v>2.5000000000000001E-4</v>
      </c>
      <c r="L641" s="493" t="s">
        <v>883</v>
      </c>
      <c r="M641" s="405" t="s">
        <v>1094</v>
      </c>
      <c r="N641" s="405" t="s">
        <v>1094</v>
      </c>
      <c r="O641" s="405" t="s">
        <v>1094</v>
      </c>
      <c r="P641" s="493" t="s">
        <v>883</v>
      </c>
      <c r="Q641" s="493" t="s">
        <v>883</v>
      </c>
      <c r="R641" s="493" t="s">
        <v>883</v>
      </c>
      <c r="S641" s="405" t="s">
        <v>1094</v>
      </c>
      <c r="T641" s="493" t="s">
        <v>883</v>
      </c>
      <c r="U641" s="493" t="s">
        <v>883</v>
      </c>
    </row>
    <row r="642" spans="1:21">
      <c r="A642" s="242" t="s">
        <v>853</v>
      </c>
      <c r="B642" s="282" t="s">
        <v>467</v>
      </c>
      <c r="C642" s="106" t="s">
        <v>599</v>
      </c>
      <c r="D642" s="491" t="s">
        <v>1094</v>
      </c>
      <c r="E642" s="493" t="s">
        <v>883</v>
      </c>
      <c r="F642" s="493" t="s">
        <v>883</v>
      </c>
      <c r="G642" s="283" t="s">
        <v>1094</v>
      </c>
      <c r="H642" s="283" t="s">
        <v>1094</v>
      </c>
      <c r="I642" s="493" t="s">
        <v>883</v>
      </c>
      <c r="J642" s="493" t="s">
        <v>883</v>
      </c>
      <c r="K642" s="416">
        <v>1.3392857142857143E-3</v>
      </c>
      <c r="L642" s="405" t="s">
        <v>1094</v>
      </c>
      <c r="M642" s="405" t="s">
        <v>1094</v>
      </c>
      <c r="N642" s="405" t="s">
        <v>1094</v>
      </c>
      <c r="O642" s="405" t="s">
        <v>1094</v>
      </c>
      <c r="P642" s="405" t="s">
        <v>1094</v>
      </c>
      <c r="Q642" s="405" t="s">
        <v>1094</v>
      </c>
      <c r="R642" s="405" t="s">
        <v>1094</v>
      </c>
      <c r="S642" s="405" t="s">
        <v>1094</v>
      </c>
      <c r="T642" s="405" t="s">
        <v>1094</v>
      </c>
      <c r="U642" s="405" t="s">
        <v>1094</v>
      </c>
    </row>
    <row r="643" spans="1:21">
      <c r="A643" s="242" t="s">
        <v>853</v>
      </c>
      <c r="B643" s="282" t="s">
        <v>468</v>
      </c>
      <c r="C643" s="121" t="s">
        <v>767</v>
      </c>
      <c r="D643" s="493" t="s">
        <v>883</v>
      </c>
      <c r="E643" s="493" t="s">
        <v>1094</v>
      </c>
      <c r="F643" s="493" t="s">
        <v>883</v>
      </c>
      <c r="G643" s="283" t="s">
        <v>1094</v>
      </c>
      <c r="H643" s="493" t="s">
        <v>1094</v>
      </c>
      <c r="I643" s="493" t="s">
        <v>883</v>
      </c>
      <c r="J643" s="493" t="s">
        <v>883</v>
      </c>
      <c r="K643" s="416">
        <v>2.7777777777777779E-3</v>
      </c>
      <c r="L643" s="493" t="s">
        <v>883</v>
      </c>
      <c r="M643" s="405" t="s">
        <v>1094</v>
      </c>
      <c r="N643" s="493" t="s">
        <v>883</v>
      </c>
      <c r="O643" s="493" t="s">
        <v>883</v>
      </c>
      <c r="P643" s="493" t="s">
        <v>883</v>
      </c>
      <c r="Q643" s="493" t="s">
        <v>883</v>
      </c>
      <c r="R643" s="493" t="s">
        <v>883</v>
      </c>
      <c r="S643" s="493" t="s">
        <v>883</v>
      </c>
      <c r="T643" s="493" t="s">
        <v>883</v>
      </c>
      <c r="U643" s="405" t="s">
        <v>1094</v>
      </c>
    </row>
    <row r="644" spans="1:21">
      <c r="A644" s="242" t="s">
        <v>853</v>
      </c>
      <c r="B644" s="282" t="s">
        <v>469</v>
      </c>
      <c r="C644" s="121" t="s">
        <v>666</v>
      </c>
      <c r="D644" s="493" t="s">
        <v>1094</v>
      </c>
      <c r="E644" s="493" t="s">
        <v>1094</v>
      </c>
      <c r="F644" s="493" t="s">
        <v>883</v>
      </c>
      <c r="G644" s="283" t="s">
        <v>1094</v>
      </c>
      <c r="H644" s="283" t="s">
        <v>1094</v>
      </c>
      <c r="I644" s="493" t="s">
        <v>883</v>
      </c>
      <c r="J644" s="493" t="s">
        <v>883</v>
      </c>
      <c r="K644" s="416">
        <v>2.0089285714285712E-3</v>
      </c>
      <c r="L644" s="493" t="s">
        <v>883</v>
      </c>
      <c r="M644" s="405" t="s">
        <v>1094</v>
      </c>
      <c r="N644" s="405" t="s">
        <v>1094</v>
      </c>
      <c r="O644" s="493" t="s">
        <v>883</v>
      </c>
      <c r="P644" s="405" t="s">
        <v>1094</v>
      </c>
      <c r="Q644" s="493" t="s">
        <v>883</v>
      </c>
      <c r="R644" s="493" t="s">
        <v>883</v>
      </c>
      <c r="S644" s="405" t="s">
        <v>1094</v>
      </c>
      <c r="T644" s="493" t="s">
        <v>883</v>
      </c>
      <c r="U644" s="493" t="s">
        <v>883</v>
      </c>
    </row>
    <row r="645" spans="1:21">
      <c r="A645" s="242" t="s">
        <v>853</v>
      </c>
      <c r="B645" s="282" t="s">
        <v>470</v>
      </c>
      <c r="C645" s="108" t="s">
        <v>612</v>
      </c>
      <c r="D645" s="497" t="s">
        <v>1094</v>
      </c>
      <c r="E645" s="497" t="s">
        <v>1094</v>
      </c>
      <c r="F645" s="493" t="s">
        <v>883</v>
      </c>
      <c r="G645" s="283" t="s">
        <v>1094</v>
      </c>
      <c r="H645" s="493" t="s">
        <v>1094</v>
      </c>
      <c r="I645" s="493" t="s">
        <v>883</v>
      </c>
      <c r="J645" s="493" t="s">
        <v>883</v>
      </c>
      <c r="K645" s="416">
        <v>2.1037868162692847E-5</v>
      </c>
      <c r="L645" s="405" t="s">
        <v>1094</v>
      </c>
      <c r="M645" s="405" t="s">
        <v>1094</v>
      </c>
      <c r="N645" s="405" t="s">
        <v>1094</v>
      </c>
      <c r="O645" s="405" t="s">
        <v>1094</v>
      </c>
      <c r="P645" s="405" t="s">
        <v>1094</v>
      </c>
      <c r="Q645" s="405" t="s">
        <v>1094</v>
      </c>
      <c r="R645" s="405" t="s">
        <v>1094</v>
      </c>
      <c r="S645" s="405" t="s">
        <v>1094</v>
      </c>
      <c r="T645" s="405" t="s">
        <v>1094</v>
      </c>
      <c r="U645" s="405" t="s">
        <v>1094</v>
      </c>
    </row>
    <row r="646" spans="1:21">
      <c r="A646" s="242" t="s">
        <v>853</v>
      </c>
      <c r="B646" s="282" t="s">
        <v>471</v>
      </c>
      <c r="C646" s="106" t="s">
        <v>814</v>
      </c>
      <c r="D646" s="491" t="s">
        <v>1094</v>
      </c>
      <c r="E646" s="493" t="s">
        <v>883</v>
      </c>
      <c r="F646" s="493" t="s">
        <v>883</v>
      </c>
      <c r="G646" s="283" t="s">
        <v>883</v>
      </c>
      <c r="H646" s="283" t="s">
        <v>1094</v>
      </c>
      <c r="I646" s="493" t="s">
        <v>883</v>
      </c>
      <c r="J646" s="283" t="s">
        <v>1094</v>
      </c>
      <c r="K646" s="416">
        <v>2.7777777777777778E-4</v>
      </c>
      <c r="L646" s="493" t="s">
        <v>883</v>
      </c>
      <c r="M646" s="405" t="s">
        <v>1094</v>
      </c>
      <c r="N646" s="405" t="s">
        <v>1094</v>
      </c>
      <c r="O646" s="405" t="s">
        <v>1094</v>
      </c>
      <c r="P646" s="405" t="s">
        <v>1094</v>
      </c>
      <c r="Q646" s="493" t="s">
        <v>883</v>
      </c>
      <c r="R646" s="405" t="s">
        <v>1094</v>
      </c>
      <c r="S646" s="405" t="s">
        <v>1094</v>
      </c>
      <c r="T646" s="405" t="s">
        <v>1094</v>
      </c>
      <c r="U646" s="405" t="s">
        <v>1094</v>
      </c>
    </row>
    <row r="647" spans="1:21">
      <c r="A647" s="242" t="s">
        <v>853</v>
      </c>
      <c r="B647" s="282" t="s">
        <v>472</v>
      </c>
      <c r="C647" s="108" t="s">
        <v>784</v>
      </c>
      <c r="D647" s="497" t="s">
        <v>883</v>
      </c>
      <c r="E647" s="493" t="s">
        <v>1094</v>
      </c>
      <c r="F647" s="493" t="s">
        <v>1094</v>
      </c>
      <c r="G647" s="493" t="s">
        <v>883</v>
      </c>
      <c r="H647" s="493" t="s">
        <v>1094</v>
      </c>
      <c r="I647" s="493" t="s">
        <v>883</v>
      </c>
      <c r="J647" s="283" t="s">
        <v>1094</v>
      </c>
      <c r="K647" s="416">
        <v>1.5384615384615385E-2</v>
      </c>
      <c r="L647" s="493" t="s">
        <v>883</v>
      </c>
      <c r="M647" s="405" t="s">
        <v>1094</v>
      </c>
      <c r="N647" s="405" t="s">
        <v>1094</v>
      </c>
      <c r="O647" s="405" t="s">
        <v>1094</v>
      </c>
      <c r="P647" s="405" t="s">
        <v>1094</v>
      </c>
      <c r="Q647" s="493" t="s">
        <v>883</v>
      </c>
      <c r="R647" s="405" t="s">
        <v>1094</v>
      </c>
      <c r="S647" s="405" t="s">
        <v>1094</v>
      </c>
      <c r="T647" s="493" t="s">
        <v>883</v>
      </c>
      <c r="U647" s="493" t="s">
        <v>883</v>
      </c>
    </row>
    <row r="648" spans="1:21">
      <c r="A648" s="242" t="s">
        <v>853</v>
      </c>
      <c r="B648" s="282" t="s">
        <v>473</v>
      </c>
      <c r="C648" s="121" t="s">
        <v>779</v>
      </c>
      <c r="D648" s="498" t="s">
        <v>883</v>
      </c>
      <c r="E648" s="498" t="s">
        <v>883</v>
      </c>
      <c r="F648" s="492" t="s">
        <v>1094</v>
      </c>
      <c r="G648" s="283" t="s">
        <v>1094</v>
      </c>
      <c r="H648" s="283" t="s">
        <v>1094</v>
      </c>
      <c r="I648" s="493" t="s">
        <v>883</v>
      </c>
      <c r="J648" s="493" t="s">
        <v>883</v>
      </c>
      <c r="K648" s="416">
        <v>4.4642857142857141E-4</v>
      </c>
      <c r="L648" s="493" t="s">
        <v>883</v>
      </c>
      <c r="M648" s="405" t="s">
        <v>1094</v>
      </c>
      <c r="N648" s="493" t="s">
        <v>883</v>
      </c>
      <c r="O648" s="405" t="s">
        <v>1094</v>
      </c>
      <c r="P648" s="405" t="s">
        <v>1094</v>
      </c>
      <c r="Q648" s="405" t="s">
        <v>1094</v>
      </c>
      <c r="R648" s="493" t="s">
        <v>883</v>
      </c>
      <c r="S648" s="493" t="s">
        <v>883</v>
      </c>
      <c r="T648" s="493" t="s">
        <v>883</v>
      </c>
      <c r="U648" s="493" t="s">
        <v>883</v>
      </c>
    </row>
    <row r="649" spans="1:21">
      <c r="A649" s="242" t="s">
        <v>853</v>
      </c>
      <c r="B649" s="282" t="s">
        <v>511</v>
      </c>
      <c r="C649" s="106" t="s">
        <v>609</v>
      </c>
      <c r="D649" s="493" t="s">
        <v>883</v>
      </c>
      <c r="E649" s="491" t="s">
        <v>1094</v>
      </c>
      <c r="F649" s="491" t="s">
        <v>1094</v>
      </c>
      <c r="G649" s="283" t="s">
        <v>1094</v>
      </c>
      <c r="H649" s="283" t="s">
        <v>1094</v>
      </c>
      <c r="I649" s="283" t="s">
        <v>1094</v>
      </c>
      <c r="J649" s="493" t="s">
        <v>883</v>
      </c>
      <c r="K649" s="416">
        <v>5.8593749999999998E-5</v>
      </c>
      <c r="L649" s="493" t="s">
        <v>883</v>
      </c>
      <c r="M649" s="405" t="s">
        <v>1094</v>
      </c>
      <c r="N649" s="493" t="s">
        <v>883</v>
      </c>
      <c r="O649" s="493" t="s">
        <v>883</v>
      </c>
      <c r="P649" s="493" t="s">
        <v>883</v>
      </c>
      <c r="Q649" s="493" t="s">
        <v>883</v>
      </c>
      <c r="R649" s="493" t="s">
        <v>883</v>
      </c>
      <c r="S649" s="493" t="s">
        <v>883</v>
      </c>
      <c r="T649" s="493" t="s">
        <v>883</v>
      </c>
      <c r="U649" s="493" t="s">
        <v>883</v>
      </c>
    </row>
    <row r="650" spans="1:21">
      <c r="A650" s="529" t="s">
        <v>853</v>
      </c>
      <c r="B650" s="530" t="s">
        <v>11229</v>
      </c>
      <c r="C650" s="550" t="s">
        <v>11230</v>
      </c>
      <c r="D650" s="547" t="s">
        <v>11280</v>
      </c>
      <c r="E650" s="547" t="s">
        <v>1094</v>
      </c>
      <c r="F650" s="547" t="s">
        <v>1094</v>
      </c>
      <c r="G650" s="548" t="s">
        <v>11280</v>
      </c>
      <c r="H650" s="547" t="s">
        <v>1094</v>
      </c>
      <c r="I650" s="548" t="s">
        <v>11280</v>
      </c>
      <c r="J650" s="547" t="s">
        <v>1094</v>
      </c>
      <c r="K650" s="533">
        <v>0.12</v>
      </c>
      <c r="L650" s="547" t="s">
        <v>1094</v>
      </c>
      <c r="M650" s="533" t="s">
        <v>1094</v>
      </c>
      <c r="N650" s="547" t="s">
        <v>1094</v>
      </c>
      <c r="O650" s="533" t="s">
        <v>1094</v>
      </c>
      <c r="P650" s="547" t="s">
        <v>1094</v>
      </c>
      <c r="Q650" s="533" t="s">
        <v>1094</v>
      </c>
      <c r="R650" s="533" t="s">
        <v>1094</v>
      </c>
      <c r="S650" s="547" t="s">
        <v>1094</v>
      </c>
      <c r="T650" s="533" t="s">
        <v>1094</v>
      </c>
      <c r="U650" s="533" t="s">
        <v>1094</v>
      </c>
    </row>
    <row r="651" spans="1:21">
      <c r="A651" s="242" t="s">
        <v>853</v>
      </c>
      <c r="B651" s="282" t="s">
        <v>474</v>
      </c>
      <c r="C651" s="106" t="s">
        <v>808</v>
      </c>
      <c r="D651" s="501" t="s">
        <v>1094</v>
      </c>
      <c r="E651" s="501" t="s">
        <v>1094</v>
      </c>
      <c r="F651" s="493" t="s">
        <v>883</v>
      </c>
      <c r="G651" s="283" t="s">
        <v>1094</v>
      </c>
      <c r="H651" s="283" t="s">
        <v>1094</v>
      </c>
      <c r="I651" s="493" t="s">
        <v>883</v>
      </c>
      <c r="J651" s="493" t="s">
        <v>883</v>
      </c>
      <c r="K651" s="416">
        <v>5.0000000000000001E-4</v>
      </c>
      <c r="L651" s="405" t="s">
        <v>1094</v>
      </c>
      <c r="M651" s="405" t="s">
        <v>1094</v>
      </c>
      <c r="N651" s="405" t="s">
        <v>1094</v>
      </c>
      <c r="O651" s="405" t="s">
        <v>1094</v>
      </c>
      <c r="P651" s="405" t="s">
        <v>1094</v>
      </c>
      <c r="Q651" s="405" t="s">
        <v>1094</v>
      </c>
      <c r="R651" s="405" t="s">
        <v>1094</v>
      </c>
      <c r="S651" s="405" t="s">
        <v>1094</v>
      </c>
      <c r="T651" s="405" t="s">
        <v>1094</v>
      </c>
      <c r="U651" s="405" t="s">
        <v>1094</v>
      </c>
    </row>
    <row r="652" spans="1:21">
      <c r="A652" s="242" t="s">
        <v>853</v>
      </c>
      <c r="B652" s="281" t="s">
        <v>1307</v>
      </c>
      <c r="C652" s="121" t="s">
        <v>532</v>
      </c>
      <c r="D652" s="493" t="s">
        <v>883</v>
      </c>
      <c r="E652" s="493" t="s">
        <v>883</v>
      </c>
      <c r="F652" s="493" t="s">
        <v>1094</v>
      </c>
      <c r="G652" s="283" t="s">
        <v>1094</v>
      </c>
      <c r="H652" s="283" t="s">
        <v>1094</v>
      </c>
      <c r="I652" s="283" t="s">
        <v>1094</v>
      </c>
      <c r="J652" s="283" t="s">
        <v>1094</v>
      </c>
      <c r="K652" s="416">
        <v>6.4285714285714282E-4</v>
      </c>
      <c r="L652" s="405" t="s">
        <v>1094</v>
      </c>
      <c r="M652" s="405" t="s">
        <v>1094</v>
      </c>
      <c r="N652" s="405" t="s">
        <v>1094</v>
      </c>
      <c r="O652" s="405" t="s">
        <v>1094</v>
      </c>
      <c r="P652" s="405" t="s">
        <v>1094</v>
      </c>
      <c r="Q652" s="405" t="s">
        <v>1094</v>
      </c>
      <c r="R652" s="405" t="s">
        <v>1094</v>
      </c>
      <c r="S652" s="405" t="s">
        <v>1094</v>
      </c>
      <c r="T652" s="405" t="s">
        <v>1094</v>
      </c>
      <c r="U652" s="405" t="s">
        <v>1094</v>
      </c>
    </row>
    <row r="653" spans="1:21">
      <c r="A653" s="242" t="s">
        <v>853</v>
      </c>
      <c r="B653" s="297" t="s">
        <v>1282</v>
      </c>
      <c r="C653" s="121" t="s">
        <v>824</v>
      </c>
      <c r="D653" s="493" t="s">
        <v>1094</v>
      </c>
      <c r="E653" s="493" t="s">
        <v>1094</v>
      </c>
      <c r="F653" s="493" t="s">
        <v>883</v>
      </c>
      <c r="G653" s="283" t="s">
        <v>1094</v>
      </c>
      <c r="H653" s="283" t="s">
        <v>1094</v>
      </c>
      <c r="I653" s="493" t="s">
        <v>883</v>
      </c>
      <c r="J653" s="493" t="s">
        <v>883</v>
      </c>
      <c r="K653" s="416">
        <v>3.3333333333333335E-3</v>
      </c>
      <c r="L653" s="405" t="s">
        <v>1094</v>
      </c>
      <c r="M653" s="405" t="s">
        <v>1094</v>
      </c>
      <c r="N653" s="405" t="s">
        <v>1094</v>
      </c>
      <c r="O653" s="405" t="s">
        <v>1094</v>
      </c>
      <c r="P653" s="405" t="s">
        <v>1094</v>
      </c>
      <c r="Q653" s="405" t="s">
        <v>1094</v>
      </c>
      <c r="R653" s="405" t="s">
        <v>1094</v>
      </c>
      <c r="S653" s="405" t="s">
        <v>1094</v>
      </c>
      <c r="T653" s="405" t="s">
        <v>1094</v>
      </c>
      <c r="U653" s="405" t="s">
        <v>1094</v>
      </c>
    </row>
    <row r="654" spans="1:21">
      <c r="A654" s="242" t="s">
        <v>853</v>
      </c>
      <c r="B654" s="282" t="s">
        <v>475</v>
      </c>
      <c r="C654" s="108" t="s">
        <v>235</v>
      </c>
      <c r="D654" s="497" t="s">
        <v>1094</v>
      </c>
      <c r="E654" s="499" t="s">
        <v>1094</v>
      </c>
      <c r="F654" s="493" t="s">
        <v>883</v>
      </c>
      <c r="G654" s="283" t="s">
        <v>1094</v>
      </c>
      <c r="H654" s="283" t="s">
        <v>1094</v>
      </c>
      <c r="I654" s="493" t="s">
        <v>883</v>
      </c>
      <c r="J654" s="493" t="s">
        <v>883</v>
      </c>
      <c r="K654" s="416">
        <v>2.9605263157894739E-4</v>
      </c>
      <c r="L654" s="405" t="s">
        <v>1094</v>
      </c>
      <c r="M654" s="405" t="s">
        <v>1094</v>
      </c>
      <c r="N654" s="405" t="s">
        <v>1094</v>
      </c>
      <c r="O654" s="405" t="s">
        <v>1094</v>
      </c>
      <c r="P654" s="405" t="s">
        <v>1094</v>
      </c>
      <c r="Q654" s="405" t="s">
        <v>1094</v>
      </c>
      <c r="R654" s="405" t="s">
        <v>1094</v>
      </c>
      <c r="S654" s="405" t="s">
        <v>1094</v>
      </c>
      <c r="T654" s="405" t="s">
        <v>1094</v>
      </c>
      <c r="U654" s="405" t="s">
        <v>1094</v>
      </c>
    </row>
    <row r="655" spans="1:21">
      <c r="A655" s="242" t="s">
        <v>853</v>
      </c>
      <c r="B655" s="282" t="s">
        <v>476</v>
      </c>
      <c r="C655" s="106" t="s">
        <v>1079</v>
      </c>
      <c r="D655" s="491" t="s">
        <v>1094</v>
      </c>
      <c r="E655" s="493" t="s">
        <v>883</v>
      </c>
      <c r="F655" s="493" t="s">
        <v>883</v>
      </c>
      <c r="G655" s="283" t="s">
        <v>1094</v>
      </c>
      <c r="H655" s="283" t="s">
        <v>1094</v>
      </c>
      <c r="I655" s="493" t="s">
        <v>883</v>
      </c>
      <c r="J655" s="493" t="s">
        <v>883</v>
      </c>
      <c r="K655" s="416">
        <v>1.125E-4</v>
      </c>
      <c r="L655" s="405" t="s">
        <v>1094</v>
      </c>
      <c r="M655" s="405" t="s">
        <v>1094</v>
      </c>
      <c r="N655" s="405" t="s">
        <v>1094</v>
      </c>
      <c r="O655" s="405" t="s">
        <v>1094</v>
      </c>
      <c r="P655" s="405" t="s">
        <v>1094</v>
      </c>
      <c r="Q655" s="405" t="s">
        <v>1094</v>
      </c>
      <c r="R655" s="405" t="s">
        <v>1094</v>
      </c>
      <c r="S655" s="405" t="s">
        <v>1094</v>
      </c>
      <c r="T655" s="405" t="s">
        <v>1094</v>
      </c>
      <c r="U655" s="405" t="s">
        <v>1094</v>
      </c>
    </row>
    <row r="656" spans="1:21">
      <c r="A656" s="242" t="s">
        <v>853</v>
      </c>
      <c r="B656" s="282" t="s">
        <v>477</v>
      </c>
      <c r="C656" s="106" t="s">
        <v>789</v>
      </c>
      <c r="D656" s="491" t="s">
        <v>1094</v>
      </c>
      <c r="E656" s="493" t="s">
        <v>1094</v>
      </c>
      <c r="F656" s="493" t="s">
        <v>883</v>
      </c>
      <c r="G656" s="493" t="s">
        <v>883</v>
      </c>
      <c r="H656" s="283" t="s">
        <v>1094</v>
      </c>
      <c r="I656" s="493" t="s">
        <v>883</v>
      </c>
      <c r="J656" s="283" t="s">
        <v>1094</v>
      </c>
      <c r="K656" s="416">
        <v>1.25E-4</v>
      </c>
      <c r="L656" s="405" t="s">
        <v>1094</v>
      </c>
      <c r="M656" s="405" t="s">
        <v>1094</v>
      </c>
      <c r="N656" s="405" t="s">
        <v>1094</v>
      </c>
      <c r="O656" s="405" t="s">
        <v>1094</v>
      </c>
      <c r="P656" s="405" t="s">
        <v>1094</v>
      </c>
      <c r="Q656" s="405" t="s">
        <v>1094</v>
      </c>
      <c r="R656" s="405" t="s">
        <v>1094</v>
      </c>
      <c r="S656" s="405" t="s">
        <v>1094</v>
      </c>
      <c r="T656" s="405" t="s">
        <v>1094</v>
      </c>
      <c r="U656" s="405" t="s">
        <v>1094</v>
      </c>
    </row>
    <row r="657" spans="1:21">
      <c r="A657" s="242" t="s">
        <v>853</v>
      </c>
      <c r="B657" s="282" t="s">
        <v>478</v>
      </c>
      <c r="C657" s="121" t="s">
        <v>623</v>
      </c>
      <c r="D657" s="493" t="s">
        <v>883</v>
      </c>
      <c r="E657" s="493" t="s">
        <v>1094</v>
      </c>
      <c r="F657" s="493" t="s">
        <v>1094</v>
      </c>
      <c r="G657" s="283" t="s">
        <v>1094</v>
      </c>
      <c r="H657" s="493" t="s">
        <v>1094</v>
      </c>
      <c r="I657" s="283" t="s">
        <v>1094</v>
      </c>
      <c r="J657" s="493" t="s">
        <v>1094</v>
      </c>
      <c r="K657" s="416">
        <v>4.0760869565217389E-4</v>
      </c>
      <c r="L657" s="405" t="s">
        <v>1094</v>
      </c>
      <c r="M657" s="405" t="s">
        <v>1094</v>
      </c>
      <c r="N657" s="405" t="s">
        <v>1094</v>
      </c>
      <c r="O657" s="405" t="s">
        <v>1094</v>
      </c>
      <c r="P657" s="405" t="s">
        <v>1094</v>
      </c>
      <c r="Q657" s="405" t="s">
        <v>1094</v>
      </c>
      <c r="R657" s="405" t="s">
        <v>1094</v>
      </c>
      <c r="S657" s="405" t="s">
        <v>1094</v>
      </c>
      <c r="T657" s="405" t="s">
        <v>1094</v>
      </c>
      <c r="U657" s="405" t="s">
        <v>1094</v>
      </c>
    </row>
    <row r="658" spans="1:21">
      <c r="A658" s="242" t="s">
        <v>853</v>
      </c>
      <c r="B658" s="282" t="s">
        <v>479</v>
      </c>
      <c r="C658" s="106" t="s">
        <v>602</v>
      </c>
      <c r="D658" s="491" t="s">
        <v>1094</v>
      </c>
      <c r="E658" s="493" t="s">
        <v>1094</v>
      </c>
      <c r="F658" s="493" t="s">
        <v>883</v>
      </c>
      <c r="G658" s="283" t="s">
        <v>1094</v>
      </c>
      <c r="H658" s="283" t="s">
        <v>1094</v>
      </c>
      <c r="I658" s="493" t="s">
        <v>883</v>
      </c>
      <c r="J658" s="493" t="s">
        <v>883</v>
      </c>
      <c r="K658" s="416">
        <v>1.1029411764705883E-2</v>
      </c>
      <c r="L658" s="405" t="s">
        <v>1094</v>
      </c>
      <c r="M658" s="405" t="s">
        <v>1094</v>
      </c>
      <c r="N658" s="405" t="s">
        <v>1094</v>
      </c>
      <c r="O658" s="405" t="s">
        <v>1094</v>
      </c>
      <c r="P658" s="405" t="s">
        <v>1094</v>
      </c>
      <c r="Q658" s="405" t="s">
        <v>1094</v>
      </c>
      <c r="R658" s="405" t="s">
        <v>1094</v>
      </c>
      <c r="S658" s="405" t="s">
        <v>1094</v>
      </c>
      <c r="T658" s="405" t="s">
        <v>1094</v>
      </c>
      <c r="U658" s="405" t="s">
        <v>1094</v>
      </c>
    </row>
    <row r="659" spans="1:21">
      <c r="A659" s="529" t="s">
        <v>853</v>
      </c>
      <c r="B659" s="530" t="s">
        <v>11162</v>
      </c>
      <c r="C659" s="552" t="s">
        <v>11163</v>
      </c>
      <c r="D659" s="547" t="s">
        <v>883</v>
      </c>
      <c r="E659" s="547" t="s">
        <v>1094</v>
      </c>
      <c r="F659" s="553" t="s">
        <v>883</v>
      </c>
      <c r="G659" s="548" t="s">
        <v>883</v>
      </c>
      <c r="H659" s="548" t="s">
        <v>1094</v>
      </c>
      <c r="I659" s="548" t="s">
        <v>883</v>
      </c>
      <c r="J659" s="547" t="s">
        <v>1094</v>
      </c>
      <c r="K659" s="533">
        <v>4.8387096774193551E-3</v>
      </c>
      <c r="L659" s="547" t="s">
        <v>883</v>
      </c>
      <c r="M659" s="533" t="s">
        <v>883</v>
      </c>
      <c r="N659" s="533" t="s">
        <v>1094</v>
      </c>
      <c r="O659" s="547" t="s">
        <v>883</v>
      </c>
      <c r="P659" s="533" t="s">
        <v>1094</v>
      </c>
      <c r="Q659" s="547" t="s">
        <v>883</v>
      </c>
      <c r="R659" s="547" t="s">
        <v>883</v>
      </c>
      <c r="S659" s="533" t="s">
        <v>1094</v>
      </c>
      <c r="T659" s="533" t="s">
        <v>883</v>
      </c>
      <c r="U659" s="547" t="s">
        <v>883</v>
      </c>
    </row>
    <row r="660" spans="1:21">
      <c r="A660" s="242" t="s">
        <v>853</v>
      </c>
      <c r="B660" s="282" t="s">
        <v>480</v>
      </c>
      <c r="C660" s="106" t="s">
        <v>1084</v>
      </c>
      <c r="D660" s="491" t="s">
        <v>1094</v>
      </c>
      <c r="E660" s="493" t="s">
        <v>883</v>
      </c>
      <c r="F660" s="493" t="s">
        <v>883</v>
      </c>
      <c r="G660" s="283" t="s">
        <v>1094</v>
      </c>
      <c r="H660" s="283" t="s">
        <v>1094</v>
      </c>
      <c r="I660" s="493" t="s">
        <v>883</v>
      </c>
      <c r="J660" s="493" t="s">
        <v>883</v>
      </c>
      <c r="K660" s="416">
        <v>4.261363636363636E-3</v>
      </c>
      <c r="L660" s="405" t="s">
        <v>1094</v>
      </c>
      <c r="M660" s="405" t="s">
        <v>1094</v>
      </c>
      <c r="N660" s="405" t="s">
        <v>1094</v>
      </c>
      <c r="O660" s="405" t="s">
        <v>1094</v>
      </c>
      <c r="P660" s="405" t="s">
        <v>1094</v>
      </c>
      <c r="Q660" s="405" t="s">
        <v>1094</v>
      </c>
      <c r="R660" s="405" t="s">
        <v>1094</v>
      </c>
      <c r="S660" s="405" t="s">
        <v>1094</v>
      </c>
      <c r="T660" s="405" t="s">
        <v>1094</v>
      </c>
      <c r="U660" s="405" t="s">
        <v>1094</v>
      </c>
    </row>
    <row r="661" spans="1:21">
      <c r="A661" s="242" t="s">
        <v>853</v>
      </c>
      <c r="B661" s="297" t="s">
        <v>1285</v>
      </c>
      <c r="C661" s="108" t="s">
        <v>224</v>
      </c>
      <c r="D661" s="497" t="s">
        <v>1094</v>
      </c>
      <c r="E661" s="497" t="s">
        <v>1094</v>
      </c>
      <c r="F661" s="493" t="s">
        <v>883</v>
      </c>
      <c r="G661" s="283" t="s">
        <v>1094</v>
      </c>
      <c r="H661" s="283" t="s">
        <v>1094</v>
      </c>
      <c r="I661" s="493" t="s">
        <v>883</v>
      </c>
      <c r="J661" s="493" t="s">
        <v>883</v>
      </c>
      <c r="K661" s="416">
        <v>1.3392857142857144E-4</v>
      </c>
      <c r="L661" s="405" t="s">
        <v>1094</v>
      </c>
      <c r="M661" s="405" t="s">
        <v>1094</v>
      </c>
      <c r="N661" s="405" t="s">
        <v>1094</v>
      </c>
      <c r="O661" s="405" t="s">
        <v>1094</v>
      </c>
      <c r="P661" s="405" t="s">
        <v>1094</v>
      </c>
      <c r="Q661" s="405" t="s">
        <v>1094</v>
      </c>
      <c r="R661" s="405" t="s">
        <v>1094</v>
      </c>
      <c r="S661" s="405" t="s">
        <v>1094</v>
      </c>
      <c r="T661" s="405" t="s">
        <v>1094</v>
      </c>
      <c r="U661" s="405" t="s">
        <v>1094</v>
      </c>
    </row>
    <row r="662" spans="1:21">
      <c r="A662" s="242" t="s">
        <v>853</v>
      </c>
      <c r="B662" s="282" t="s">
        <v>481</v>
      </c>
      <c r="C662" s="121" t="s">
        <v>631</v>
      </c>
      <c r="D662" s="493" t="s">
        <v>1094</v>
      </c>
      <c r="E662" s="493" t="s">
        <v>883</v>
      </c>
      <c r="F662" s="493" t="s">
        <v>883</v>
      </c>
      <c r="G662" s="283" t="s">
        <v>1094</v>
      </c>
      <c r="H662" s="283" t="s">
        <v>1094</v>
      </c>
      <c r="I662" s="493" t="s">
        <v>883</v>
      </c>
      <c r="J662" s="493" t="s">
        <v>883</v>
      </c>
      <c r="K662" s="416">
        <v>1.4634146341463415E-3</v>
      </c>
      <c r="L662" s="493" t="s">
        <v>883</v>
      </c>
      <c r="M662" s="405" t="s">
        <v>1094</v>
      </c>
      <c r="N662" s="405" t="s">
        <v>1094</v>
      </c>
      <c r="O662" s="493" t="s">
        <v>883</v>
      </c>
      <c r="P662" s="493" t="s">
        <v>883</v>
      </c>
      <c r="Q662" s="493" t="s">
        <v>883</v>
      </c>
      <c r="R662" s="405" t="s">
        <v>1094</v>
      </c>
      <c r="S662" s="405" t="s">
        <v>1094</v>
      </c>
      <c r="T662" s="493" t="s">
        <v>883</v>
      </c>
      <c r="U662" s="493" t="s">
        <v>883</v>
      </c>
    </row>
    <row r="663" spans="1:21">
      <c r="A663" s="242" t="s">
        <v>853</v>
      </c>
      <c r="B663" s="282" t="s">
        <v>482</v>
      </c>
      <c r="C663" s="121" t="s">
        <v>688</v>
      </c>
      <c r="D663" s="493" t="s">
        <v>1094</v>
      </c>
      <c r="E663" s="493" t="s">
        <v>883</v>
      </c>
      <c r="F663" s="493" t="s">
        <v>883</v>
      </c>
      <c r="G663" s="283" t="s">
        <v>1094</v>
      </c>
      <c r="H663" s="493" t="s">
        <v>883</v>
      </c>
      <c r="I663" s="493" t="s">
        <v>883</v>
      </c>
      <c r="J663" s="493" t="s">
        <v>883</v>
      </c>
      <c r="K663" s="416">
        <v>4.7619047619047623E-3</v>
      </c>
      <c r="L663" s="405" t="s">
        <v>1094</v>
      </c>
      <c r="M663" s="405" t="s">
        <v>1094</v>
      </c>
      <c r="N663" s="405" t="s">
        <v>1094</v>
      </c>
      <c r="O663" s="405" t="s">
        <v>1094</v>
      </c>
      <c r="P663" s="405" t="s">
        <v>1094</v>
      </c>
      <c r="Q663" s="405" t="s">
        <v>1094</v>
      </c>
      <c r="R663" s="405" t="s">
        <v>1094</v>
      </c>
      <c r="S663" s="405" t="s">
        <v>1094</v>
      </c>
      <c r="T663" s="405" t="s">
        <v>1094</v>
      </c>
      <c r="U663" s="405" t="s">
        <v>1094</v>
      </c>
    </row>
    <row r="664" spans="1:21">
      <c r="A664" s="242" t="s">
        <v>853</v>
      </c>
      <c r="B664" s="282" t="s">
        <v>537</v>
      </c>
      <c r="C664" s="121" t="s">
        <v>701</v>
      </c>
      <c r="D664" s="493" t="s">
        <v>1094</v>
      </c>
      <c r="E664" s="493" t="s">
        <v>1094</v>
      </c>
      <c r="F664" s="493" t="s">
        <v>883</v>
      </c>
      <c r="G664" s="283" t="s">
        <v>1094</v>
      </c>
      <c r="H664" s="493" t="s">
        <v>1094</v>
      </c>
      <c r="I664" s="493" t="s">
        <v>883</v>
      </c>
      <c r="J664" s="493" t="s">
        <v>883</v>
      </c>
      <c r="K664" s="416">
        <v>5.3571428571428572E-3</v>
      </c>
      <c r="L664" s="405" t="s">
        <v>1094</v>
      </c>
      <c r="M664" s="405" t="s">
        <v>1094</v>
      </c>
      <c r="N664" s="405" t="s">
        <v>1094</v>
      </c>
      <c r="O664" s="405" t="s">
        <v>1094</v>
      </c>
      <c r="P664" s="405" t="s">
        <v>1094</v>
      </c>
      <c r="Q664" s="405" t="s">
        <v>1094</v>
      </c>
      <c r="R664" s="405" t="s">
        <v>1094</v>
      </c>
      <c r="S664" s="405" t="s">
        <v>1094</v>
      </c>
      <c r="T664" s="405" t="s">
        <v>1094</v>
      </c>
      <c r="U664" s="405" t="s">
        <v>1094</v>
      </c>
    </row>
    <row r="665" spans="1:21">
      <c r="A665" s="242" t="s">
        <v>853</v>
      </c>
      <c r="B665" s="282" t="s">
        <v>483</v>
      </c>
      <c r="C665" s="121" t="s">
        <v>657</v>
      </c>
      <c r="D665" s="493" t="s">
        <v>883</v>
      </c>
      <c r="E665" s="493" t="s">
        <v>1094</v>
      </c>
      <c r="F665" s="493" t="s">
        <v>883</v>
      </c>
      <c r="G665" s="283" t="s">
        <v>1094</v>
      </c>
      <c r="H665" s="283" t="s">
        <v>1094</v>
      </c>
      <c r="I665" s="493" t="s">
        <v>883</v>
      </c>
      <c r="J665" s="283" t="s">
        <v>1094</v>
      </c>
      <c r="K665" s="416">
        <v>0.02</v>
      </c>
      <c r="L665" s="493" t="s">
        <v>883</v>
      </c>
      <c r="M665" s="405" t="s">
        <v>1094</v>
      </c>
      <c r="N665" s="405" t="s">
        <v>1094</v>
      </c>
      <c r="O665" s="405" t="s">
        <v>1094</v>
      </c>
      <c r="P665" s="405" t="s">
        <v>1094</v>
      </c>
      <c r="Q665" s="493" t="s">
        <v>883</v>
      </c>
      <c r="R665" s="405" t="s">
        <v>1094</v>
      </c>
      <c r="S665" s="405" t="s">
        <v>1094</v>
      </c>
      <c r="T665" s="405" t="s">
        <v>1094</v>
      </c>
      <c r="U665" s="405" t="s">
        <v>1094</v>
      </c>
    </row>
    <row r="666" spans="1:21">
      <c r="A666" s="242" t="s">
        <v>853</v>
      </c>
      <c r="B666" s="282" t="s">
        <v>484</v>
      </c>
      <c r="C666" s="106" t="s">
        <v>792</v>
      </c>
      <c r="D666" s="493" t="s">
        <v>883</v>
      </c>
      <c r="E666" s="491" t="s">
        <v>1094</v>
      </c>
      <c r="F666" s="493" t="s">
        <v>883</v>
      </c>
      <c r="G666" s="493" t="s">
        <v>883</v>
      </c>
      <c r="H666" s="283" t="s">
        <v>1094</v>
      </c>
      <c r="I666" s="493" t="s">
        <v>883</v>
      </c>
      <c r="J666" s="283" t="s">
        <v>1094</v>
      </c>
      <c r="K666" s="416">
        <v>1.0044642857142858E-2</v>
      </c>
      <c r="L666" s="405" t="s">
        <v>1094</v>
      </c>
      <c r="M666" s="405" t="s">
        <v>1094</v>
      </c>
      <c r="N666" s="405" t="s">
        <v>1094</v>
      </c>
      <c r="O666" s="405" t="s">
        <v>1094</v>
      </c>
      <c r="P666" s="405" t="s">
        <v>1094</v>
      </c>
      <c r="Q666" s="405" t="s">
        <v>1094</v>
      </c>
      <c r="R666" s="405" t="s">
        <v>1094</v>
      </c>
      <c r="S666" s="405" t="s">
        <v>1094</v>
      </c>
      <c r="T666" s="405" t="s">
        <v>1094</v>
      </c>
      <c r="U666" s="405" t="s">
        <v>1094</v>
      </c>
    </row>
    <row r="667" spans="1:21">
      <c r="A667" s="242" t="s">
        <v>853</v>
      </c>
      <c r="B667" s="282" t="s">
        <v>485</v>
      </c>
      <c r="C667" s="558" t="s">
        <v>660</v>
      </c>
      <c r="D667" s="498" t="s">
        <v>883</v>
      </c>
      <c r="E667" s="493" t="s">
        <v>1094</v>
      </c>
      <c r="F667" s="493" t="s">
        <v>1094</v>
      </c>
      <c r="G667" s="283" t="s">
        <v>1094</v>
      </c>
      <c r="H667" s="283" t="s">
        <v>883</v>
      </c>
      <c r="I667" s="493" t="s">
        <v>883</v>
      </c>
      <c r="J667" s="493" t="s">
        <v>883</v>
      </c>
      <c r="K667" s="416">
        <v>4.807692307692308E-3</v>
      </c>
      <c r="L667" s="575" t="s">
        <v>1094</v>
      </c>
      <c r="M667" s="575" t="s">
        <v>1094</v>
      </c>
      <c r="N667" s="575" t="s">
        <v>1094</v>
      </c>
      <c r="O667" s="405" t="s">
        <v>1094</v>
      </c>
      <c r="P667" s="405" t="s">
        <v>1094</v>
      </c>
      <c r="Q667" s="405" t="s">
        <v>1094</v>
      </c>
      <c r="R667" s="405" t="s">
        <v>1094</v>
      </c>
      <c r="S667" s="405" t="s">
        <v>1094</v>
      </c>
      <c r="T667" s="405" t="s">
        <v>1094</v>
      </c>
      <c r="U667" s="405" t="s">
        <v>1094</v>
      </c>
    </row>
    <row r="668" spans="1:21">
      <c r="A668" s="242" t="s">
        <v>853</v>
      </c>
      <c r="B668" s="282" t="s">
        <v>486</v>
      </c>
      <c r="C668" s="121" t="s">
        <v>697</v>
      </c>
      <c r="D668" s="493" t="s">
        <v>883</v>
      </c>
      <c r="E668" s="493" t="s">
        <v>883</v>
      </c>
      <c r="F668" s="493" t="s">
        <v>1094</v>
      </c>
      <c r="G668" s="283" t="s">
        <v>1094</v>
      </c>
      <c r="H668" s="283" t="s">
        <v>1094</v>
      </c>
      <c r="I668" s="283" t="s">
        <v>1094</v>
      </c>
      <c r="J668" s="493" t="s">
        <v>883</v>
      </c>
      <c r="K668" s="416">
        <v>9.3750000000000002E-5</v>
      </c>
      <c r="L668" s="405" t="s">
        <v>1094</v>
      </c>
      <c r="M668" s="405" t="s">
        <v>1094</v>
      </c>
      <c r="N668" s="405" t="s">
        <v>1094</v>
      </c>
      <c r="O668" s="405" t="s">
        <v>1094</v>
      </c>
      <c r="P668" s="405" t="s">
        <v>1094</v>
      </c>
      <c r="Q668" s="405" t="s">
        <v>1094</v>
      </c>
      <c r="R668" s="405" t="s">
        <v>1094</v>
      </c>
      <c r="S668" s="405" t="s">
        <v>1094</v>
      </c>
      <c r="T668" s="405" t="s">
        <v>1094</v>
      </c>
      <c r="U668" s="405" t="s">
        <v>1094</v>
      </c>
    </row>
    <row r="669" spans="1:21">
      <c r="A669" s="242" t="s">
        <v>853</v>
      </c>
      <c r="B669" s="282" t="s">
        <v>487</v>
      </c>
      <c r="C669" s="121" t="s">
        <v>738</v>
      </c>
      <c r="D669" s="493" t="s">
        <v>1094</v>
      </c>
      <c r="E669" s="493" t="s">
        <v>1094</v>
      </c>
      <c r="F669" s="493" t="s">
        <v>883</v>
      </c>
      <c r="G669" s="283" t="s">
        <v>1094</v>
      </c>
      <c r="H669" s="493" t="s">
        <v>1094</v>
      </c>
      <c r="I669" s="493" t="s">
        <v>883</v>
      </c>
      <c r="J669" s="493" t="s">
        <v>1094</v>
      </c>
      <c r="K669" s="416">
        <v>5.8823529411764701E-4</v>
      </c>
      <c r="L669" s="405" t="s">
        <v>1094</v>
      </c>
      <c r="M669" s="405" t="s">
        <v>1094</v>
      </c>
      <c r="N669" s="405" t="s">
        <v>1094</v>
      </c>
      <c r="O669" s="405" t="s">
        <v>1094</v>
      </c>
      <c r="P669" s="405" t="s">
        <v>1094</v>
      </c>
      <c r="Q669" s="405" t="s">
        <v>1094</v>
      </c>
      <c r="R669" s="405" t="s">
        <v>1094</v>
      </c>
      <c r="S669" s="405" t="s">
        <v>1094</v>
      </c>
      <c r="T669" s="405" t="s">
        <v>1094</v>
      </c>
      <c r="U669" s="405" t="s">
        <v>1094</v>
      </c>
    </row>
    <row r="670" spans="1:21">
      <c r="A670" s="242" t="s">
        <v>853</v>
      </c>
      <c r="B670" s="282" t="s">
        <v>488</v>
      </c>
      <c r="C670" s="121" t="s">
        <v>749</v>
      </c>
      <c r="D670" s="493" t="s">
        <v>883</v>
      </c>
      <c r="E670" s="493" t="s">
        <v>1094</v>
      </c>
      <c r="F670" s="493" t="s">
        <v>883</v>
      </c>
      <c r="G670" s="283" t="s">
        <v>883</v>
      </c>
      <c r="H670" s="283" t="s">
        <v>1094</v>
      </c>
      <c r="I670" s="493" t="s">
        <v>883</v>
      </c>
      <c r="J670" s="283" t="s">
        <v>1094</v>
      </c>
      <c r="K670" s="416">
        <v>4.7999999999999996E-3</v>
      </c>
      <c r="L670" s="493" t="s">
        <v>883</v>
      </c>
      <c r="M670" s="405" t="s">
        <v>1094</v>
      </c>
      <c r="N670" s="405" t="s">
        <v>1094</v>
      </c>
      <c r="O670" s="493" t="s">
        <v>883</v>
      </c>
      <c r="P670" s="405" t="s">
        <v>1094</v>
      </c>
      <c r="Q670" s="493" t="s">
        <v>883</v>
      </c>
      <c r="R670" s="493" t="s">
        <v>883</v>
      </c>
      <c r="S670" s="405" t="s">
        <v>1094</v>
      </c>
      <c r="T670" s="493" t="s">
        <v>883</v>
      </c>
      <c r="U670" s="493" t="s">
        <v>883</v>
      </c>
    </row>
    <row r="671" spans="1:21">
      <c r="A671" s="242" t="s">
        <v>853</v>
      </c>
      <c r="B671" s="282" t="s">
        <v>489</v>
      </c>
      <c r="C671" s="108" t="s">
        <v>238</v>
      </c>
      <c r="D671" s="493" t="s">
        <v>883</v>
      </c>
      <c r="E671" s="497" t="s">
        <v>883</v>
      </c>
      <c r="F671" s="497" t="s">
        <v>1094</v>
      </c>
      <c r="G671" s="283" t="s">
        <v>1094</v>
      </c>
      <c r="H671" s="283" t="s">
        <v>1094</v>
      </c>
      <c r="I671" s="283" t="s">
        <v>1094</v>
      </c>
      <c r="J671" s="493" t="s">
        <v>883</v>
      </c>
      <c r="K671" s="416">
        <v>4.261363636363636E-3</v>
      </c>
      <c r="L671" s="493" t="s">
        <v>883</v>
      </c>
      <c r="M671" s="405" t="s">
        <v>1094</v>
      </c>
      <c r="N671" s="405" t="s">
        <v>1094</v>
      </c>
      <c r="O671" s="405" t="s">
        <v>1094</v>
      </c>
      <c r="P671" s="405" t="s">
        <v>1094</v>
      </c>
      <c r="Q671" s="493" t="s">
        <v>883</v>
      </c>
      <c r="R671" s="405" t="s">
        <v>1094</v>
      </c>
      <c r="S671" s="493" t="s">
        <v>883</v>
      </c>
      <c r="T671" s="493" t="s">
        <v>883</v>
      </c>
      <c r="U671" s="493" t="s">
        <v>883</v>
      </c>
    </row>
    <row r="672" spans="1:21">
      <c r="A672" s="242" t="s">
        <v>853</v>
      </c>
      <c r="B672" s="282" t="s">
        <v>490</v>
      </c>
      <c r="C672" s="106" t="s">
        <v>812</v>
      </c>
      <c r="D672" s="493" t="s">
        <v>883</v>
      </c>
      <c r="E672" s="491" t="s">
        <v>883</v>
      </c>
      <c r="F672" s="501" t="s">
        <v>1094</v>
      </c>
      <c r="G672" s="414" t="s">
        <v>1094</v>
      </c>
      <c r="H672" s="283" t="s">
        <v>1094</v>
      </c>
      <c r="I672" s="414" t="s">
        <v>1094</v>
      </c>
      <c r="J672" s="493" t="s">
        <v>883</v>
      </c>
      <c r="K672" s="416">
        <v>3.5046728971962614E-4</v>
      </c>
      <c r="L672" s="493" t="s">
        <v>883</v>
      </c>
      <c r="M672" s="405" t="s">
        <v>1094</v>
      </c>
      <c r="N672" s="405" t="s">
        <v>1094</v>
      </c>
      <c r="O672" s="405" t="s">
        <v>1094</v>
      </c>
      <c r="P672" s="405" t="s">
        <v>1094</v>
      </c>
      <c r="Q672" s="493" t="s">
        <v>883</v>
      </c>
      <c r="R672" s="405" t="s">
        <v>1094</v>
      </c>
      <c r="S672" s="405" t="s">
        <v>1094</v>
      </c>
      <c r="T672" s="493" t="s">
        <v>883</v>
      </c>
      <c r="U672" s="493" t="s">
        <v>883</v>
      </c>
    </row>
    <row r="673" spans="1:21">
      <c r="A673" s="242" t="s">
        <v>853</v>
      </c>
      <c r="B673" s="282" t="s">
        <v>491</v>
      </c>
      <c r="C673" s="121" t="s">
        <v>696</v>
      </c>
      <c r="D673" s="493" t="s">
        <v>883</v>
      </c>
      <c r="E673" s="493" t="s">
        <v>883</v>
      </c>
      <c r="F673" s="493" t="s">
        <v>1094</v>
      </c>
      <c r="G673" s="283" t="s">
        <v>1094</v>
      </c>
      <c r="H673" s="493" t="s">
        <v>1094</v>
      </c>
      <c r="I673" s="283" t="s">
        <v>1094</v>
      </c>
      <c r="J673" s="493" t="s">
        <v>883</v>
      </c>
      <c r="K673" s="416">
        <v>2.6666666666666667E-5</v>
      </c>
      <c r="L673" s="405" t="s">
        <v>1094</v>
      </c>
      <c r="M673" s="405" t="s">
        <v>1094</v>
      </c>
      <c r="N673" s="405" t="s">
        <v>1094</v>
      </c>
      <c r="O673" s="405" t="s">
        <v>1094</v>
      </c>
      <c r="P673" s="405" t="s">
        <v>1094</v>
      </c>
      <c r="Q673" s="405" t="s">
        <v>1094</v>
      </c>
      <c r="R673" s="405" t="s">
        <v>1094</v>
      </c>
      <c r="S673" s="405" t="s">
        <v>1094</v>
      </c>
      <c r="T673" s="405" t="s">
        <v>1094</v>
      </c>
      <c r="U673" s="405" t="s">
        <v>1094</v>
      </c>
    </row>
    <row r="674" spans="1:21">
      <c r="A674" s="242" t="s">
        <v>853</v>
      </c>
      <c r="B674" s="282" t="s">
        <v>275</v>
      </c>
      <c r="C674" s="121" t="s">
        <v>774</v>
      </c>
      <c r="D674" s="493" t="s">
        <v>883</v>
      </c>
      <c r="E674" s="492" t="s">
        <v>1094</v>
      </c>
      <c r="F674" s="493" t="s">
        <v>1094</v>
      </c>
      <c r="G674" s="493" t="s">
        <v>883</v>
      </c>
      <c r="H674" s="283" t="s">
        <v>1094</v>
      </c>
      <c r="I674" s="283" t="s">
        <v>883</v>
      </c>
      <c r="J674" s="493" t="s">
        <v>1094</v>
      </c>
      <c r="K674" s="416">
        <v>1.5625000000000001E-3</v>
      </c>
      <c r="L674" s="493" t="s">
        <v>883</v>
      </c>
      <c r="M674" s="405" t="s">
        <v>1094</v>
      </c>
      <c r="N674" s="493" t="s">
        <v>883</v>
      </c>
      <c r="O674" s="405" t="s">
        <v>1094</v>
      </c>
      <c r="P674" s="493" t="s">
        <v>883</v>
      </c>
      <c r="Q674" s="493" t="s">
        <v>883</v>
      </c>
      <c r="R674" s="405" t="s">
        <v>1094</v>
      </c>
      <c r="S674" s="405" t="s">
        <v>1094</v>
      </c>
      <c r="T674" s="493" t="s">
        <v>883</v>
      </c>
      <c r="U674" s="493" t="s">
        <v>883</v>
      </c>
    </row>
    <row r="675" spans="1:21">
      <c r="A675" s="242" t="s">
        <v>853</v>
      </c>
      <c r="B675" s="282" t="s">
        <v>512</v>
      </c>
      <c r="C675" s="106" t="s">
        <v>795</v>
      </c>
      <c r="D675" s="491" t="s">
        <v>1094</v>
      </c>
      <c r="E675" s="493" t="s">
        <v>1094</v>
      </c>
      <c r="F675" s="493" t="s">
        <v>883</v>
      </c>
      <c r="G675" s="283" t="s">
        <v>1094</v>
      </c>
      <c r="H675" s="283" t="s">
        <v>1094</v>
      </c>
      <c r="I675" s="493" t="s">
        <v>883</v>
      </c>
      <c r="J675" s="283" t="s">
        <v>1094</v>
      </c>
      <c r="K675" s="416">
        <v>7.2727272727272723E-4</v>
      </c>
      <c r="L675" s="405" t="s">
        <v>1094</v>
      </c>
      <c r="M675" s="405" t="s">
        <v>1094</v>
      </c>
      <c r="N675" s="405" t="s">
        <v>1094</v>
      </c>
      <c r="O675" s="405" t="s">
        <v>1094</v>
      </c>
      <c r="P675" s="405" t="s">
        <v>1094</v>
      </c>
      <c r="Q675" s="405" t="s">
        <v>1094</v>
      </c>
      <c r="R675" s="405" t="s">
        <v>1094</v>
      </c>
      <c r="S675" s="405" t="s">
        <v>1094</v>
      </c>
      <c r="T675" s="405" t="s">
        <v>1094</v>
      </c>
      <c r="U675" s="405" t="s">
        <v>1094</v>
      </c>
    </row>
    <row r="676" spans="1:21">
      <c r="A676" s="242" t="s">
        <v>853</v>
      </c>
      <c r="B676" s="282" t="s">
        <v>492</v>
      </c>
      <c r="C676" s="121" t="s">
        <v>687</v>
      </c>
      <c r="D676" s="493" t="s">
        <v>883</v>
      </c>
      <c r="E676" s="493" t="s">
        <v>1094</v>
      </c>
      <c r="F676" s="493" t="s">
        <v>1094</v>
      </c>
      <c r="G676" s="283" t="s">
        <v>1094</v>
      </c>
      <c r="H676" s="283" t="s">
        <v>1094</v>
      </c>
      <c r="I676" s="493" t="s">
        <v>883</v>
      </c>
      <c r="J676" s="493" t="s">
        <v>883</v>
      </c>
      <c r="K676" s="416">
        <v>1.0541666666666666E-2</v>
      </c>
      <c r="L676" s="405" t="s">
        <v>1094</v>
      </c>
      <c r="M676" s="405" t="s">
        <v>1094</v>
      </c>
      <c r="N676" s="405" t="s">
        <v>1094</v>
      </c>
      <c r="O676" s="405" t="s">
        <v>1094</v>
      </c>
      <c r="P676" s="405" t="s">
        <v>1094</v>
      </c>
      <c r="Q676" s="405" t="s">
        <v>1094</v>
      </c>
      <c r="R676" s="405" t="s">
        <v>1094</v>
      </c>
      <c r="S676" s="405" t="s">
        <v>1094</v>
      </c>
      <c r="T676" s="405" t="s">
        <v>1094</v>
      </c>
      <c r="U676" s="405" t="s">
        <v>1094</v>
      </c>
    </row>
    <row r="677" spans="1:21">
      <c r="A677" s="242" t="s">
        <v>853</v>
      </c>
      <c r="B677" s="282" t="s">
        <v>493</v>
      </c>
      <c r="C677" s="122" t="s">
        <v>523</v>
      </c>
      <c r="D677" s="504" t="s">
        <v>1094</v>
      </c>
      <c r="E677" s="493" t="s">
        <v>1094</v>
      </c>
      <c r="F677" s="493" t="s">
        <v>883</v>
      </c>
      <c r="G677" s="493" t="s">
        <v>883</v>
      </c>
      <c r="H677" s="283" t="s">
        <v>1094</v>
      </c>
      <c r="I677" s="493" t="s">
        <v>883</v>
      </c>
      <c r="J677" s="283" t="s">
        <v>1094</v>
      </c>
      <c r="K677" s="416">
        <v>8.3333333333333332E-3</v>
      </c>
      <c r="L677" s="493" t="s">
        <v>883</v>
      </c>
      <c r="M677" s="405" t="s">
        <v>1094</v>
      </c>
      <c r="N677" s="405" t="s">
        <v>1094</v>
      </c>
      <c r="O677" s="493" t="s">
        <v>883</v>
      </c>
      <c r="P677" s="405" t="s">
        <v>1094</v>
      </c>
      <c r="Q677" s="493" t="s">
        <v>883</v>
      </c>
      <c r="R677" s="493" t="s">
        <v>883</v>
      </c>
      <c r="S677" s="405" t="s">
        <v>1094</v>
      </c>
      <c r="T677" s="493" t="s">
        <v>883</v>
      </c>
      <c r="U677" s="493" t="s">
        <v>883</v>
      </c>
    </row>
    <row r="678" spans="1:21">
      <c r="A678" s="242" t="s">
        <v>853</v>
      </c>
      <c r="B678" s="282" t="s">
        <v>494</v>
      </c>
      <c r="C678" s="121" t="s">
        <v>716</v>
      </c>
      <c r="D678" s="493" t="s">
        <v>1094</v>
      </c>
      <c r="E678" s="493" t="s">
        <v>883</v>
      </c>
      <c r="F678" s="493" t="s">
        <v>883</v>
      </c>
      <c r="G678" s="283" t="s">
        <v>1094</v>
      </c>
      <c r="H678" s="493" t="s">
        <v>883</v>
      </c>
      <c r="I678" s="493" t="s">
        <v>883</v>
      </c>
      <c r="J678" s="493" t="s">
        <v>883</v>
      </c>
      <c r="K678" s="416">
        <v>2.8571428571428574E-4</v>
      </c>
      <c r="L678" s="493" t="s">
        <v>883</v>
      </c>
      <c r="M678" s="405" t="s">
        <v>1094</v>
      </c>
      <c r="N678" s="493" t="s">
        <v>883</v>
      </c>
      <c r="O678" s="405" t="s">
        <v>1094</v>
      </c>
      <c r="P678" s="493" t="s">
        <v>883</v>
      </c>
      <c r="Q678" s="405" t="s">
        <v>1094</v>
      </c>
      <c r="R678" s="405" t="s">
        <v>1094</v>
      </c>
      <c r="S678" s="493" t="s">
        <v>883</v>
      </c>
      <c r="T678" s="405" t="s">
        <v>1094</v>
      </c>
      <c r="U678" s="405" t="s">
        <v>1094</v>
      </c>
    </row>
    <row r="679" spans="1:21">
      <c r="A679" s="242" t="s">
        <v>853</v>
      </c>
      <c r="B679" s="282" t="s">
        <v>274</v>
      </c>
      <c r="C679" s="121" t="s">
        <v>759</v>
      </c>
      <c r="D679" s="493" t="s">
        <v>883</v>
      </c>
      <c r="E679" s="493" t="s">
        <v>883</v>
      </c>
      <c r="F679" s="493" t="s">
        <v>1094</v>
      </c>
      <c r="G679" s="283" t="s">
        <v>1094</v>
      </c>
      <c r="H679" s="493" t="s">
        <v>1094</v>
      </c>
      <c r="I679" s="283" t="s">
        <v>1094</v>
      </c>
      <c r="J679" s="493" t="s">
        <v>883</v>
      </c>
      <c r="K679" s="416">
        <v>2.5000000000000001E-3</v>
      </c>
      <c r="L679" s="405" t="s">
        <v>1094</v>
      </c>
      <c r="M679" s="405" t="s">
        <v>1094</v>
      </c>
      <c r="N679" s="405" t="s">
        <v>1094</v>
      </c>
      <c r="O679" s="405" t="s">
        <v>1094</v>
      </c>
      <c r="P679" s="405" t="s">
        <v>1094</v>
      </c>
      <c r="Q679" s="405" t="s">
        <v>1094</v>
      </c>
      <c r="R679" s="405" t="s">
        <v>1094</v>
      </c>
      <c r="S679" s="405" t="s">
        <v>1094</v>
      </c>
      <c r="T679" s="405" t="s">
        <v>1094</v>
      </c>
      <c r="U679" s="405" t="s">
        <v>1094</v>
      </c>
    </row>
    <row r="680" spans="1:21">
      <c r="A680" s="242" t="s">
        <v>853</v>
      </c>
      <c r="B680" s="282" t="s">
        <v>495</v>
      </c>
      <c r="C680" s="121" t="s">
        <v>658</v>
      </c>
      <c r="D680" s="493" t="s">
        <v>883</v>
      </c>
      <c r="E680" s="493" t="s">
        <v>1094</v>
      </c>
      <c r="F680" s="493" t="s">
        <v>1094</v>
      </c>
      <c r="G680" s="493" t="s">
        <v>883</v>
      </c>
      <c r="H680" s="493" t="s">
        <v>883</v>
      </c>
      <c r="I680" s="283" t="s">
        <v>1094</v>
      </c>
      <c r="J680" s="283" t="s">
        <v>1094</v>
      </c>
      <c r="K680" s="416">
        <v>4.6874999999999998E-4</v>
      </c>
      <c r="L680" s="493" t="s">
        <v>883</v>
      </c>
      <c r="M680" s="493" t="s">
        <v>883</v>
      </c>
      <c r="N680" s="493" t="s">
        <v>883</v>
      </c>
      <c r="O680" s="493" t="s">
        <v>883</v>
      </c>
      <c r="P680" s="405" t="s">
        <v>1094</v>
      </c>
      <c r="Q680" s="405" t="s">
        <v>1094</v>
      </c>
      <c r="R680" s="493" t="s">
        <v>883</v>
      </c>
      <c r="S680" s="493" t="s">
        <v>883</v>
      </c>
      <c r="T680" s="493" t="s">
        <v>883</v>
      </c>
      <c r="U680" s="493" t="s">
        <v>883</v>
      </c>
    </row>
    <row r="681" spans="1:21">
      <c r="A681" s="242" t="s">
        <v>853</v>
      </c>
      <c r="B681" s="282" t="s">
        <v>496</v>
      </c>
      <c r="C681" s="106" t="s">
        <v>787</v>
      </c>
      <c r="D681" s="503" t="s">
        <v>883</v>
      </c>
      <c r="E681" s="493" t="s">
        <v>1094</v>
      </c>
      <c r="F681" s="493" t="s">
        <v>1094</v>
      </c>
      <c r="G681" s="493" t="s">
        <v>883</v>
      </c>
      <c r="H681" s="283" t="s">
        <v>1094</v>
      </c>
      <c r="I681" s="493" t="s">
        <v>883</v>
      </c>
      <c r="J681" s="283" t="s">
        <v>1094</v>
      </c>
      <c r="K681" s="416">
        <v>2.0833333333333335E-4</v>
      </c>
      <c r="L681" s="493" t="s">
        <v>883</v>
      </c>
      <c r="M681" s="405" t="s">
        <v>1094</v>
      </c>
      <c r="N681" s="493" t="s">
        <v>883</v>
      </c>
      <c r="O681" s="493" t="s">
        <v>883</v>
      </c>
      <c r="P681" s="493" t="s">
        <v>883</v>
      </c>
      <c r="Q681" s="493" t="s">
        <v>883</v>
      </c>
      <c r="R681" s="405" t="s">
        <v>1094</v>
      </c>
      <c r="S681" s="493" t="s">
        <v>883</v>
      </c>
      <c r="T681" s="493" t="s">
        <v>883</v>
      </c>
      <c r="U681" s="493" t="s">
        <v>883</v>
      </c>
    </row>
    <row r="682" spans="1:21">
      <c r="A682" s="242" t="s">
        <v>853</v>
      </c>
      <c r="B682" s="282" t="s">
        <v>497</v>
      </c>
      <c r="C682" s="121" t="s">
        <v>760</v>
      </c>
      <c r="D682" s="493" t="s">
        <v>1094</v>
      </c>
      <c r="E682" s="493" t="s">
        <v>883</v>
      </c>
      <c r="F682" s="493" t="s">
        <v>883</v>
      </c>
      <c r="G682" s="283" t="s">
        <v>1094</v>
      </c>
      <c r="H682" s="283" t="s">
        <v>1094</v>
      </c>
      <c r="I682" s="493" t="s">
        <v>883</v>
      </c>
      <c r="J682" s="283" t="s">
        <v>1094</v>
      </c>
      <c r="K682" s="416">
        <v>9.3749999999999997E-3</v>
      </c>
      <c r="L682" s="405" t="s">
        <v>1094</v>
      </c>
      <c r="M682" s="405" t="s">
        <v>1094</v>
      </c>
      <c r="N682" s="405" t="s">
        <v>1094</v>
      </c>
      <c r="O682" s="405" t="s">
        <v>1094</v>
      </c>
      <c r="P682" s="405" t="s">
        <v>1094</v>
      </c>
      <c r="Q682" s="405" t="s">
        <v>1094</v>
      </c>
      <c r="R682" s="405" t="s">
        <v>1094</v>
      </c>
      <c r="S682" s="405" t="s">
        <v>1094</v>
      </c>
      <c r="T682" s="405" t="s">
        <v>1094</v>
      </c>
      <c r="U682" s="405" t="s">
        <v>1094</v>
      </c>
    </row>
    <row r="683" spans="1:21">
      <c r="A683" s="242" t="s">
        <v>853</v>
      </c>
      <c r="B683" s="282" t="s">
        <v>538</v>
      </c>
      <c r="C683" s="121" t="s">
        <v>754</v>
      </c>
      <c r="D683" s="493" t="s">
        <v>883</v>
      </c>
      <c r="E683" s="493" t="s">
        <v>1094</v>
      </c>
      <c r="F683" s="493" t="s">
        <v>883</v>
      </c>
      <c r="G683" s="493" t="s">
        <v>883</v>
      </c>
      <c r="H683" s="283" t="s">
        <v>1094</v>
      </c>
      <c r="I683" s="493" t="s">
        <v>883</v>
      </c>
      <c r="J683" s="283" t="s">
        <v>1094</v>
      </c>
      <c r="K683" s="416">
        <v>9.5238095238095238E-4</v>
      </c>
      <c r="L683" s="493" t="s">
        <v>883</v>
      </c>
      <c r="M683" s="405" t="s">
        <v>1094</v>
      </c>
      <c r="N683" s="405" t="s">
        <v>1094</v>
      </c>
      <c r="O683" s="405" t="s">
        <v>1094</v>
      </c>
      <c r="P683" s="405" t="s">
        <v>1094</v>
      </c>
      <c r="Q683" s="493" t="s">
        <v>883</v>
      </c>
      <c r="R683" s="405" t="s">
        <v>1094</v>
      </c>
      <c r="S683" s="405" t="s">
        <v>1094</v>
      </c>
      <c r="T683" s="405" t="s">
        <v>1094</v>
      </c>
      <c r="U683" s="405" t="s">
        <v>1094</v>
      </c>
    </row>
    <row r="684" spans="1:21">
      <c r="A684" s="242"/>
      <c r="B684" s="297"/>
      <c r="C684" s="213"/>
      <c r="D684" s="120"/>
      <c r="E684" s="210"/>
      <c r="F684" s="120"/>
      <c r="G684" s="294"/>
      <c r="H684" s="294"/>
      <c r="I684" s="120"/>
      <c r="J684" s="120"/>
      <c r="K684" s="278"/>
      <c r="L684" s="215"/>
      <c r="M684" s="278"/>
      <c r="N684" s="215"/>
      <c r="O684" s="278"/>
      <c r="P684" s="215"/>
      <c r="Q684" s="278"/>
      <c r="R684" s="278"/>
      <c r="S684" s="215"/>
      <c r="T684" s="278"/>
      <c r="U684" s="278"/>
    </row>
    <row r="685" spans="1:21">
      <c r="A685" s="242"/>
      <c r="B685" s="297"/>
      <c r="C685" s="224"/>
      <c r="D685" s="215"/>
      <c r="E685" s="120"/>
      <c r="F685" s="120"/>
      <c r="G685" s="294"/>
      <c r="H685" s="294"/>
      <c r="I685" s="120"/>
      <c r="J685" s="120"/>
      <c r="K685" s="278"/>
      <c r="L685" s="215"/>
      <c r="M685" s="278"/>
      <c r="N685" s="215"/>
      <c r="O685" s="215"/>
      <c r="P685" s="215"/>
      <c r="Q685" s="215"/>
      <c r="R685" s="215"/>
      <c r="S685" s="215"/>
      <c r="T685" s="215"/>
      <c r="U685" s="215"/>
    </row>
    <row r="686" spans="1:21">
      <c r="A686" s="242"/>
      <c r="B686" s="297"/>
      <c r="C686" s="214"/>
      <c r="D686" s="120"/>
      <c r="E686" s="120"/>
      <c r="F686" s="212"/>
      <c r="G686" s="120"/>
      <c r="H686" s="120"/>
      <c r="I686" s="294"/>
      <c r="J686" s="120"/>
      <c r="K686" s="278"/>
      <c r="L686" s="215"/>
      <c r="M686" s="215"/>
      <c r="N686" s="215"/>
      <c r="O686" s="215"/>
      <c r="P686" s="278"/>
      <c r="Q686" s="215"/>
      <c r="R686" s="215"/>
      <c r="S686" s="215"/>
      <c r="T686" s="215"/>
      <c r="U686" s="215"/>
    </row>
    <row r="687" spans="1:21">
      <c r="A687" s="242"/>
      <c r="B687" s="297"/>
      <c r="C687" s="224"/>
      <c r="D687" s="120"/>
      <c r="E687" s="120"/>
      <c r="F687" s="215"/>
      <c r="G687" s="120"/>
      <c r="H687" s="120"/>
      <c r="I687" s="294"/>
      <c r="J687" s="120"/>
      <c r="K687" s="278"/>
      <c r="L687" s="215"/>
      <c r="M687" s="278"/>
      <c r="N687" s="278"/>
      <c r="O687" s="215"/>
      <c r="P687" s="278"/>
      <c r="Q687" s="215"/>
      <c r="R687" s="215"/>
      <c r="S687" s="215"/>
      <c r="T687" s="215"/>
      <c r="U687" s="215"/>
    </row>
    <row r="688" spans="1:21">
      <c r="A688" s="242"/>
      <c r="B688" s="297"/>
      <c r="C688" s="224"/>
      <c r="D688" s="120"/>
      <c r="E688" s="215"/>
      <c r="F688" s="120"/>
      <c r="G688" s="120"/>
      <c r="H688" s="120"/>
      <c r="I688" s="120"/>
      <c r="J688" s="294"/>
      <c r="K688" s="278"/>
      <c r="L688" s="215"/>
      <c r="M688" s="215"/>
      <c r="N688" s="215"/>
      <c r="O688" s="215"/>
      <c r="P688" s="278"/>
      <c r="Q688" s="215"/>
      <c r="R688" s="215"/>
      <c r="S688" s="215"/>
      <c r="T688" s="215"/>
      <c r="U688" s="215"/>
    </row>
    <row r="689" spans="1:21">
      <c r="A689" s="242"/>
      <c r="B689" s="297"/>
      <c r="C689" s="224"/>
      <c r="D689" s="215"/>
      <c r="E689" s="120"/>
      <c r="F689" s="120"/>
      <c r="G689" s="294"/>
      <c r="H689" s="294"/>
      <c r="I689" s="120"/>
      <c r="J689" s="215"/>
      <c r="K689" s="278"/>
      <c r="L689" s="215"/>
      <c r="M689" s="215"/>
      <c r="N689" s="215"/>
      <c r="O689" s="215"/>
      <c r="P689" s="278"/>
      <c r="Q689" s="215"/>
      <c r="R689" s="215"/>
      <c r="S689" s="215"/>
      <c r="T689" s="215"/>
      <c r="U689" s="215"/>
    </row>
    <row r="690" spans="1:21">
      <c r="A690" s="242"/>
      <c r="B690" s="282"/>
      <c r="C690" s="121"/>
      <c r="D690" s="120"/>
      <c r="E690" s="120"/>
      <c r="F690" s="120"/>
      <c r="G690" s="283"/>
      <c r="H690" s="283"/>
      <c r="I690" s="120"/>
      <c r="J690" s="120"/>
      <c r="K690" s="278"/>
      <c r="L690" s="278"/>
      <c r="M690" s="278"/>
      <c r="N690" s="278"/>
      <c r="O690" s="278"/>
      <c r="P690" s="278"/>
      <c r="Q690" s="278"/>
      <c r="R690" s="278"/>
      <c r="S690" s="278"/>
      <c r="T690" s="278"/>
      <c r="U690" s="278"/>
    </row>
    <row r="691" spans="1:21">
      <c r="A691" s="242"/>
      <c r="B691" s="282"/>
      <c r="C691" s="121"/>
      <c r="D691" s="120"/>
      <c r="E691" s="120"/>
      <c r="F691" s="120"/>
      <c r="G691" s="120"/>
      <c r="H691" s="120"/>
      <c r="I691" s="120"/>
      <c r="J691" s="283"/>
      <c r="K691" s="278"/>
      <c r="L691" s="278"/>
      <c r="M691" s="278"/>
      <c r="N691" s="278"/>
      <c r="O691" s="278"/>
      <c r="P691" s="278"/>
      <c r="Q691" s="278"/>
      <c r="R691" s="278"/>
      <c r="S691" s="278"/>
      <c r="T691" s="278"/>
      <c r="U691" s="278"/>
    </row>
    <row r="692" spans="1:21">
      <c r="A692" s="242"/>
      <c r="B692" s="282"/>
      <c r="C692" s="121"/>
      <c r="D692" s="120"/>
      <c r="E692" s="120"/>
      <c r="F692" s="120"/>
      <c r="G692" s="120"/>
      <c r="H692" s="283"/>
      <c r="I692" s="120"/>
      <c r="J692" s="283"/>
      <c r="K692" s="278"/>
      <c r="L692" s="120"/>
      <c r="M692" s="278"/>
      <c r="N692" s="120"/>
      <c r="O692" s="120"/>
      <c r="P692" s="120"/>
      <c r="Q692" s="120"/>
      <c r="R692" s="278"/>
      <c r="S692" s="278"/>
      <c r="T692" s="278"/>
      <c r="U692" s="120"/>
    </row>
    <row r="693" spans="1:21">
      <c r="A693" s="242"/>
      <c r="B693" s="282"/>
      <c r="C693" s="121"/>
      <c r="D693" s="120"/>
      <c r="E693" s="120"/>
      <c r="F693" s="120"/>
      <c r="G693" s="120"/>
      <c r="H693" s="120"/>
      <c r="I693" s="120"/>
      <c r="J693" s="283"/>
      <c r="K693" s="278"/>
      <c r="L693" s="278"/>
      <c r="M693" s="278"/>
      <c r="N693" s="278"/>
      <c r="O693" s="278"/>
      <c r="P693" s="278"/>
      <c r="Q693" s="278"/>
      <c r="R693" s="278"/>
      <c r="S693" s="278"/>
      <c r="T693" s="278"/>
      <c r="U693" s="278"/>
    </row>
    <row r="694" spans="1:21">
      <c r="A694" s="242"/>
      <c r="B694" s="282"/>
      <c r="C694" s="121"/>
      <c r="D694" s="215"/>
      <c r="E694" s="120"/>
      <c r="F694" s="120"/>
      <c r="G694" s="283"/>
      <c r="H694" s="120"/>
      <c r="I694" s="120"/>
      <c r="J694" s="120"/>
      <c r="K694" s="278"/>
      <c r="L694" s="120"/>
      <c r="M694" s="278"/>
      <c r="N694" s="278"/>
      <c r="O694" s="278"/>
      <c r="P694" s="278"/>
      <c r="Q694" s="120"/>
      <c r="R694" s="278"/>
      <c r="S694" s="278"/>
      <c r="T694" s="120"/>
      <c r="U694" s="120"/>
    </row>
    <row r="695" spans="1:21">
      <c r="A695" s="242"/>
      <c r="B695" s="282"/>
      <c r="C695" s="106"/>
      <c r="D695" s="113"/>
      <c r="E695" s="120"/>
      <c r="F695" s="120"/>
      <c r="G695" s="283"/>
      <c r="H695" s="283"/>
      <c r="I695" s="120"/>
      <c r="J695" s="283"/>
      <c r="K695" s="278"/>
      <c r="L695" s="278"/>
      <c r="M695" s="278"/>
      <c r="N695" s="278"/>
      <c r="O695" s="278"/>
      <c r="P695" s="278"/>
      <c r="Q695" s="278"/>
      <c r="R695" s="278"/>
      <c r="S695" s="278"/>
      <c r="T695" s="278"/>
      <c r="U695" s="278"/>
    </row>
    <row r="696" spans="1:21">
      <c r="A696" s="242"/>
      <c r="B696" s="282"/>
      <c r="C696" s="121"/>
      <c r="D696" s="120"/>
      <c r="E696" s="120"/>
      <c r="F696" s="120"/>
      <c r="G696" s="120"/>
      <c r="H696" s="283"/>
      <c r="I696" s="120"/>
      <c r="J696" s="283"/>
      <c r="K696" s="278"/>
      <c r="L696" s="278"/>
      <c r="M696" s="278"/>
      <c r="N696" s="278"/>
      <c r="O696" s="278"/>
      <c r="P696" s="278"/>
      <c r="Q696" s="278"/>
      <c r="R696" s="278"/>
      <c r="S696" s="278"/>
      <c r="T696" s="278"/>
      <c r="U696" s="278"/>
    </row>
    <row r="697" spans="1:21">
      <c r="A697" s="242"/>
      <c r="B697" s="282"/>
      <c r="C697" s="121"/>
      <c r="D697" s="120"/>
      <c r="E697" s="120"/>
      <c r="F697" s="120"/>
      <c r="G697" s="120"/>
      <c r="H697" s="283"/>
      <c r="I697" s="120"/>
      <c r="J697" s="283"/>
      <c r="K697" s="278"/>
      <c r="L697" s="120"/>
      <c r="M697" s="278"/>
      <c r="N697" s="278"/>
      <c r="O697" s="278"/>
      <c r="P697" s="278"/>
      <c r="Q697" s="278"/>
      <c r="R697" s="278"/>
      <c r="S697" s="278"/>
      <c r="T697" s="120"/>
      <c r="U697" s="120"/>
    </row>
    <row r="698" spans="1:21">
      <c r="A698" s="242"/>
      <c r="B698" s="297"/>
      <c r="C698" s="121"/>
      <c r="D698" s="120"/>
      <c r="E698" s="216"/>
      <c r="F698" s="120"/>
      <c r="G698" s="294"/>
      <c r="H698" s="283"/>
      <c r="I698" s="283"/>
      <c r="J698" s="120"/>
      <c r="K698" s="278"/>
      <c r="L698" s="120"/>
      <c r="M698" s="278"/>
      <c r="N698" s="278"/>
      <c r="O698" s="278"/>
      <c r="P698" s="278"/>
      <c r="Q698" s="278"/>
      <c r="R698" s="278"/>
      <c r="S698" s="278"/>
      <c r="T698" s="278"/>
      <c r="U698" s="278"/>
    </row>
    <row r="699" spans="1:21">
      <c r="A699" s="242"/>
      <c r="B699" s="282"/>
      <c r="C699" s="108"/>
      <c r="D699" s="114"/>
      <c r="E699" s="120"/>
      <c r="F699" s="120"/>
      <c r="G699" s="283"/>
      <c r="H699" s="120"/>
      <c r="I699" s="120"/>
      <c r="J699" s="120"/>
      <c r="K699" s="278"/>
      <c r="L699" s="120"/>
      <c r="M699" s="278"/>
      <c r="N699" s="278"/>
      <c r="O699" s="278"/>
      <c r="P699" s="278"/>
      <c r="Q699" s="278"/>
      <c r="R699" s="120"/>
      <c r="S699" s="278"/>
      <c r="T699" s="120"/>
      <c r="U699" s="278"/>
    </row>
    <row r="700" spans="1:21">
      <c r="A700" s="242"/>
      <c r="B700" s="282"/>
      <c r="C700" s="121"/>
      <c r="D700" s="120"/>
      <c r="E700" s="120"/>
      <c r="F700" s="120"/>
      <c r="G700" s="283"/>
      <c r="H700" s="120"/>
      <c r="I700" s="120"/>
      <c r="J700" s="120"/>
      <c r="K700" s="278"/>
      <c r="L700" s="120"/>
      <c r="M700" s="278"/>
      <c r="N700" s="120"/>
      <c r="O700" s="278"/>
      <c r="P700" s="120"/>
      <c r="Q700" s="278"/>
      <c r="R700" s="120"/>
      <c r="S700" s="120"/>
      <c r="T700" s="278"/>
      <c r="U700" s="278"/>
    </row>
    <row r="701" spans="1:21">
      <c r="A701" s="242"/>
      <c r="B701" s="297"/>
      <c r="C701" s="121"/>
      <c r="D701" s="120"/>
      <c r="E701" s="120"/>
      <c r="F701" s="120"/>
      <c r="G701" s="120"/>
      <c r="H701" s="120"/>
      <c r="I701" s="120"/>
      <c r="J701" s="283"/>
      <c r="K701" s="278"/>
      <c r="L701" s="120"/>
      <c r="M701" s="120"/>
      <c r="N701" s="120"/>
      <c r="O701" s="120"/>
      <c r="P701" s="120"/>
      <c r="Q701" s="120"/>
      <c r="R701" s="120"/>
      <c r="S701" s="120"/>
      <c r="T701" s="120"/>
      <c r="U701" s="120"/>
    </row>
    <row r="702" spans="1:21">
      <c r="A702" s="242"/>
      <c r="B702" s="282"/>
      <c r="C702" s="106"/>
      <c r="D702" s="120"/>
      <c r="E702" s="113"/>
      <c r="F702" s="120"/>
      <c r="G702" s="283"/>
      <c r="H702" s="283"/>
      <c r="I702" s="120"/>
      <c r="J702" s="120"/>
      <c r="K702" s="278"/>
      <c r="L702" s="120"/>
      <c r="M702" s="278"/>
      <c r="N702" s="278"/>
      <c r="O702" s="278"/>
      <c r="P702" s="278"/>
      <c r="Q702" s="120"/>
      <c r="R702" s="278"/>
      <c r="S702" s="278"/>
      <c r="T702" s="120"/>
      <c r="U702" s="120"/>
    </row>
    <row r="703" spans="1:21">
      <c r="A703" s="242"/>
      <c r="B703" s="282"/>
      <c r="C703" s="121"/>
      <c r="D703" s="120"/>
      <c r="E703" s="120"/>
      <c r="F703" s="120"/>
      <c r="G703" s="283"/>
      <c r="H703" s="283"/>
      <c r="I703" s="283"/>
      <c r="J703" s="283"/>
      <c r="K703" s="278"/>
      <c r="L703" s="278"/>
      <c r="M703" s="278"/>
      <c r="N703" s="278"/>
      <c r="O703" s="278"/>
      <c r="P703" s="278"/>
      <c r="Q703" s="278"/>
      <c r="R703" s="278"/>
      <c r="S703" s="278"/>
      <c r="T703" s="278"/>
      <c r="U703" s="278"/>
    </row>
    <row r="704" spans="1:21">
      <c r="A704" s="242"/>
      <c r="B704" s="282"/>
      <c r="C704" s="108"/>
      <c r="D704" s="120"/>
      <c r="E704" s="114"/>
      <c r="F704" s="120"/>
      <c r="G704" s="120"/>
      <c r="H704" s="283"/>
      <c r="I704" s="120"/>
      <c r="J704" s="283"/>
      <c r="K704" s="278"/>
      <c r="L704" s="120"/>
      <c r="M704" s="120"/>
      <c r="N704" s="120"/>
      <c r="O704" s="120"/>
      <c r="P704" s="120"/>
      <c r="Q704" s="120"/>
      <c r="R704" s="120"/>
      <c r="S704" s="278"/>
      <c r="T704" s="120"/>
      <c r="U704" s="120"/>
    </row>
    <row r="705" spans="1:21">
      <c r="A705" s="242"/>
      <c r="B705" s="282"/>
      <c r="C705" s="121"/>
      <c r="D705" s="120"/>
      <c r="E705" s="120"/>
      <c r="F705" s="120"/>
      <c r="G705" s="283"/>
      <c r="H705" s="283"/>
      <c r="I705" s="283"/>
      <c r="J705" s="120"/>
      <c r="K705" s="278"/>
      <c r="L705" s="120"/>
      <c r="M705" s="278"/>
      <c r="N705" s="278"/>
      <c r="O705" s="278"/>
      <c r="P705" s="278"/>
      <c r="Q705" s="120"/>
      <c r="R705" s="120"/>
      <c r="S705" s="120"/>
      <c r="T705" s="120"/>
      <c r="U705" s="120"/>
    </row>
    <row r="706" spans="1:21">
      <c r="A706" s="242"/>
      <c r="B706" s="282"/>
      <c r="C706" s="108"/>
      <c r="D706" s="114"/>
      <c r="E706" s="114"/>
      <c r="F706" s="120"/>
      <c r="G706" s="283"/>
      <c r="H706" s="283"/>
      <c r="I706" s="120"/>
      <c r="J706" s="120"/>
      <c r="K706" s="278"/>
      <c r="L706" s="120"/>
      <c r="M706" s="278"/>
      <c r="N706" s="120"/>
      <c r="O706" s="120"/>
      <c r="P706" s="120"/>
      <c r="Q706" s="120"/>
      <c r="R706" s="278"/>
      <c r="S706" s="278"/>
      <c r="T706" s="120"/>
      <c r="U706" s="120"/>
    </row>
    <row r="707" spans="1:21">
      <c r="A707" s="242"/>
      <c r="B707" s="282"/>
      <c r="C707" s="121"/>
      <c r="D707" s="215"/>
      <c r="E707" s="215"/>
      <c r="F707" s="215"/>
      <c r="G707" s="283"/>
      <c r="H707" s="283"/>
      <c r="I707" s="283"/>
      <c r="J707" s="283"/>
      <c r="K707" s="278"/>
      <c r="L707" s="278"/>
      <c r="M707" s="278"/>
      <c r="N707" s="278"/>
      <c r="O707" s="278"/>
      <c r="P707" s="278"/>
      <c r="Q707" s="278"/>
      <c r="R707" s="278"/>
      <c r="S707" s="278"/>
      <c r="T707" s="278"/>
      <c r="U707" s="278"/>
    </row>
    <row r="708" spans="1:21">
      <c r="A708" s="242"/>
      <c r="B708" s="282"/>
      <c r="C708" s="106"/>
      <c r="D708" s="113"/>
      <c r="E708" s="120"/>
      <c r="F708" s="120"/>
      <c r="G708" s="283"/>
      <c r="H708" s="120"/>
      <c r="I708" s="120"/>
      <c r="J708" s="120"/>
      <c r="K708" s="278"/>
      <c r="L708" s="278"/>
      <c r="M708" s="278"/>
      <c r="N708" s="278"/>
      <c r="O708" s="278"/>
      <c r="P708" s="278"/>
      <c r="Q708" s="278"/>
      <c r="R708" s="278"/>
      <c r="S708" s="278"/>
      <c r="T708" s="278"/>
      <c r="U708" s="278"/>
    </row>
    <row r="709" spans="1:21">
      <c r="A709" s="242"/>
      <c r="B709" s="282"/>
      <c r="C709" s="121"/>
      <c r="D709" s="120"/>
      <c r="E709" s="120"/>
      <c r="F709" s="120"/>
      <c r="G709" s="120"/>
      <c r="H709" s="283"/>
      <c r="I709" s="120"/>
      <c r="J709" s="283"/>
      <c r="K709" s="278"/>
      <c r="L709" s="120"/>
      <c r="M709" s="278"/>
      <c r="N709" s="278"/>
      <c r="O709" s="278"/>
      <c r="P709" s="278"/>
      <c r="Q709" s="120"/>
      <c r="R709" s="278"/>
      <c r="S709" s="278"/>
      <c r="T709" s="278"/>
      <c r="U709" s="278"/>
    </row>
  </sheetData>
  <mergeCells count="3">
    <mergeCell ref="D1:F1"/>
    <mergeCell ref="G1:J1"/>
    <mergeCell ref="L1:U1"/>
  </mergeCells>
  <phoneticPr fontId="27" type="noConversion"/>
  <hyperlinks>
    <hyperlink ref="C289" r:id="rId1" tooltip="Link to Plant Profile" display="http://plants.usda.gov/java/profile?symbol=ACMIO"/>
    <hyperlink ref="C263" r:id="rId2" tooltip="Link to Plant Profile" display="http://plants.usda.gov/java/profile?symbol=ACCA4"/>
    <hyperlink ref="C291" r:id="rId3" tooltip="Link to Plant Profile" display="http://plants.usda.gov/java/profile?symbol=ACPA"/>
    <hyperlink ref="C207" r:id="rId4" tooltip="Link to Plant Profile" display="http://plants.usda.gov/java/profile?symbol=ACRU2"/>
    <hyperlink ref="C233" r:id="rId5" tooltip="Link to Plant Profile" display="http://plants.usda.gov/java/profile?symbol=AGTE3"/>
    <hyperlink ref="C20" r:id="rId6" tooltip="Link to Plant Profile" display="http://plants.usda.gov/java/profile?symbol=AGFO"/>
    <hyperlink ref="C325" r:id="rId7" tooltip="Link to Plant Profile" display="http://plants.usda.gov/java/profile?symbol=AGNE2"/>
    <hyperlink ref="C195" r:id="rId8" tooltip="Link to Plant Profile" display="http://plants.usda.gov/java/profile?symbol=AGSC"/>
    <hyperlink ref="C300" r:id="rId9" tooltip="Link to Plant Profile" display="http://plants.usda.gov/java/profile?symbol=AGAL5"/>
    <hyperlink ref="C150" r:id="rId10" tooltip="Link to Plant Profile" display="http://plants.usda.gov/java/profile?symbol=ALCA3"/>
    <hyperlink ref="C9" r:id="rId11" tooltip="Link to Plant Profile" display="http://plants.usda.gov/java/profile?symbol=ALST"/>
    <hyperlink ref="C310" r:id="rId12" tooltip="Link to Plant Profile" display="http://plants.usda.gov/java/profile?symbol=ALTR3"/>
    <hyperlink ref="C32" r:id="rId13" tooltip="Link to Plant Profile" display="http://plants.usda.gov/java/profile?symbol=ANCA8"/>
    <hyperlink ref="C36" r:id="rId14" tooltip="Link to Plant Profile" display="http://plants.usda.gov/java/profile?symbol=ANCY"/>
    <hyperlink ref="C270" r:id="rId15" tooltip="Link to Plant Profile" display="http://plants.usda.gov/java/profile?symbol=ANVI3"/>
    <hyperlink ref="C202" r:id="rId16" tooltip="Link to Plant Profile" display="http://plants.usda.gov/java/profile?symbol=ANAT"/>
    <hyperlink ref="C319" r:id="rId17" tooltip="Link to Plant Profile" display="http://plants.usda.gov/java/profile?symbol=ANPL"/>
    <hyperlink ref="C208" r:id="rId18" tooltip="Link to Plant Profile" display="http://plants.usda.gov/java/profile?symbol=AQCA"/>
    <hyperlink ref="C273" r:id="rId19" tooltip="Link to Plant Profile" display="http://plants.usda.gov/java/profile?symbol=ARGL"/>
    <hyperlink ref="C109" r:id="rId20" tooltip="Link to Plant Profile" display="http://plants.usda.gov/java/profile?symbol=ARHI"/>
    <hyperlink ref="C127" r:id="rId21" tooltip="Link to Plant Profile" display="http://plants.usda.gov/java/profile?symbol=ARTR"/>
    <hyperlink ref="C168" r:id="rId22" tooltip="Link to Plant Profile" display="http://plants.usda.gov/java/profile?symbol=ARAT"/>
    <hyperlink ref="C80" r:id="rId23" tooltip="Link to Plant Profile" display="http://plants.usda.gov/java/profile?symbol=ARCA12"/>
    <hyperlink ref="C299" r:id="rId24" tooltip="Link to Plant Profile" display="http://plants.usda.gov/java/profile?symbol=ARLU"/>
    <hyperlink ref="C35" r:id="rId25" tooltip="Link to Plant Profile" display="http://plants.usda.gov/java/profile?symbol=ASCA"/>
    <hyperlink ref="C177" r:id="rId26" tooltip="Link to Plant Profile" display="http://plants.usda.gov/java/profile?symbol=ASEX"/>
    <hyperlink ref="C103" r:id="rId27" tooltip="Link to Plant Profile" display="http://plants.usda.gov/java/profile?symbol=ASHI"/>
    <hyperlink ref="C259" r:id="rId28" tooltip="Link to Plant Profile" display="http://plants.usda.gov/java/profile?symbol=ASIN"/>
    <hyperlink ref="C197" r:id="rId29" tooltip="Link to Plant Profile" display="http://plants.usda.gov/java/profile?symbol=ASPU2"/>
    <hyperlink ref="C185" r:id="rId30" tooltip="Link to Plant Profile" display="http://plants.usda.gov/java/profile?symbol=ASSU3"/>
    <hyperlink ref="C31" r:id="rId31" tooltip="Link to Plant Profile" display="http://plants.usda.gov/java/profile?symbol=ASTU"/>
    <hyperlink ref="C304" r:id="rId32" tooltip="Link to Plant Profile" display="http://plants.usda.gov/java/profile?symbol=ASVE"/>
    <hyperlink ref="C230" r:id="rId33" tooltip="Link to Plant Profile" display="http://plants.usda.gov/java/profile?symbol=SYOO"/>
    <hyperlink ref="C295" r:id="rId34" tooltip="Link to Plant Profile" display="http://plants.usda.gov/java/profile?symbol=SYER"/>
    <hyperlink ref="C234" r:id="rId35" tooltip="Link to Plant Profile" display="http://plants.usda.gov/java/profile?symbol=SYLA3"/>
    <hyperlink ref="C7" r:id="rId36" tooltip="Link to Plant Profile" display="http://plants.usda.gov/java/profile?symbol=SYOB"/>
    <hyperlink ref="C110" r:id="rId37" tooltip="Link to Plant Profile" display="http://plants.usda.gov/java/profile?symbol=SYPI2"/>
    <hyperlink ref="C316" r:id="rId38" tooltip="Link to Plant Profile" display="http://plants.usda.gov/java/profile?symbol=SYPR5"/>
    <hyperlink ref="C53" r:id="rId39" tooltip="Link to Plant Profile" display="http://plants.usda.gov/java/profile?symbol=SYPR6"/>
    <hyperlink ref="C290" r:id="rId40" tooltip="Link to Plant Profile" display="http://plants.usda.gov/java/profile?symbol=SYUR"/>
    <hyperlink ref="C286" r:id="rId41" tooltip="Link to Plant Profile" display="http://plants.usda.gov/java/profile?symbol=SYSE2"/>
    <hyperlink ref="C226" r:id="rId42" tooltip="Link to Plant Profile" display="http://plants.usda.gov/java/profile?symbol=SYSH"/>
    <hyperlink ref="C34" r:id="rId43" tooltip="Link to Plant Profile" display="http://plants.usda.gov/java/profile?symbol=ASCA11"/>
    <hyperlink ref="C105" r:id="rId44" tooltip="Link to Plant Profile" display="http://plants.usda.gov/java/profile?symbol=ASCR2"/>
    <hyperlink ref="C23" r:id="rId45" tooltip="Link to Plant Profile" display="http://plants.usda.gov/java/profile?symbol=BAAU"/>
    <hyperlink ref="C302" r:id="rId46" tooltip="Link to Plant Profile" display="http://plants.usda.gov/java/profile?symbol=BAAL"/>
    <hyperlink ref="C121" r:id="rId47" tooltip="Link to Plant Profile" display="http://plants.usda.gov/java/profile?symbol=BATI"/>
    <hyperlink ref="C11" r:id="rId48" tooltip="Link to Plant Profile" display="http://plants.usda.gov/java/profile?symbol=BIAR"/>
    <hyperlink ref="C157" r:id="rId49" tooltip="Link to Plant Profile" display="http://plants.usda.gov/java/profile?symbol=BICE"/>
    <hyperlink ref="C203" r:id="rId50" tooltip="Link to Plant Profile" display="http://plants.usda.gov/java/profile?symbol=BICO5"/>
    <hyperlink ref="C56" r:id="rId51" tooltip="Link to Plant Profile" display="http://plants.usda.gov/java/profile?symbol=BIFR"/>
    <hyperlink ref="C108" r:id="rId52" tooltip="Link to Plant Profile" display="http://plants.usda.gov/java/profile?symbol=BLHI"/>
    <hyperlink ref="C293" r:id="rId53" tooltip="Link to Plant Profile" display="http://plants.usda.gov/java/profile?symbol=BOAS"/>
    <hyperlink ref="C73" r:id="rId54" tooltip="Link to Plant Profile" display="http://plants.usda.gov/java/profile?symbol=BREU"/>
    <hyperlink ref="C104" r:id="rId55" tooltip="Link to Plant Profile" display="http://plants.usda.gov/java/profile?symbol=ARPL4"/>
    <hyperlink ref="C198" r:id="rId56" tooltip="Link to Plant Profile" display="http://plants.usda.gov/java/profile?symbol=CAIN2"/>
    <hyperlink ref="C98" r:id="rId57" display="http://plants.usda.gov/java/profile?symbol=ARRE6"/>
    <hyperlink ref="C305" r:id="rId58" display="http://plants.usda.gov/java/profile?symbol=MOFI"/>
    <hyperlink ref="C244" r:id="rId59" display="http://plants.usda.gov/java/profile?symbol=MOPU"/>
    <hyperlink ref="C45" r:id="rId60" display="http://plants.usda.gov/java/profile?symbol=OEBI"/>
    <hyperlink ref="C149" r:id="rId61" display="http://plants.usda.gov/java/profile?symbol=OEPI2"/>
    <hyperlink ref="C218" r:id="rId62" display="http://plants.usda.gov/java/profile?symbol=OERH"/>
    <hyperlink ref="C240" r:id="rId63" display="http://plants.usda.gov/java/profile?symbol=ONBE"/>
    <hyperlink ref="C41" r:id="rId64" display="http://plants.usda.gov/java/profile?symbol=PECO4"/>
    <hyperlink ref="C84" r:id="rId65" display="http://plants.usda.gov/java/profile?symbol=PEDI"/>
    <hyperlink ref="C131" r:id="rId66" display="http://plants.usda.gov/java/profile?symbol=PEGR7"/>
    <hyperlink ref="C164" r:id="rId67" display="http://plants.usda.gov/java/profile?symbol=PEPA7"/>
    <hyperlink ref="C285" r:id="rId68" display="http://plants.usda.gov/java/profile?symbol=PETU"/>
    <hyperlink ref="C298" r:id="rId69" display="http://plants.usda.gov/java/profile?symbol=DACA7"/>
    <hyperlink ref="C199" r:id="rId70" display="http://plants.usda.gov/java/profile?symbol=DAPU5"/>
    <hyperlink ref="C21" r:id="rId71" display="http://plants.usda.gov/java/profile?symbol=PHDI5"/>
    <hyperlink ref="C315" r:id="rId72" display="http://plants.usda.gov/java/profile?symbol=PHMA4"/>
    <hyperlink ref="C188" r:id="rId73" display="http://plants.usda.gov/java/profile?symbol=PHPI"/>
    <hyperlink ref="C148" r:id="rId74" display="http://plants.usda.gov/java/profile?symbol=POPE"/>
    <hyperlink ref="C129" r:id="rId75" display="http://plants.usda.gov/java/profile?symbol=POVI2"/>
    <hyperlink ref="C173" r:id="rId76" display="http://plants.usda.gov/java/profile?symbol=POPE2"/>
    <hyperlink ref="C284" r:id="rId77" display="http://plants.usda.gov/java/profile?symbol=POPU5"/>
    <hyperlink ref="C130" r:id="rId78" display="http://plants.usda.gov/java/profile?symbol=PEES"/>
    <hyperlink ref="C86" r:id="rId79" display="http://plants.usda.gov/java/profile?symbol=ORON"/>
    <hyperlink ref="C239" r:id="rId80" display="http://plants.usda.gov/java/profile?symbol=SINI"/>
    <hyperlink ref="C248" r:id="rId81" display="http://plants.usda.gov/java/profile?symbol=SIST"/>
    <hyperlink ref="C213" r:id="rId82" display="http://plants.usda.gov/java/profile?symbol=SIIN2"/>
    <hyperlink ref="C49" r:id="rId83" display="http://plants.usda.gov/java/profile?symbol=SILA3"/>
    <hyperlink ref="C55" r:id="rId84" display="http://plants.usda.gov/java/profile?symbol=SIPE2"/>
    <hyperlink ref="C190" r:id="rId85" display="http://plants.usda.gov/java/profile?symbol=SITE"/>
    <hyperlink ref="C209" r:id="rId86" display="http://plants.usda.gov/java/profile?symbol=OLRI2"/>
    <hyperlink ref="C251" r:id="rId87" display="http://plants.usda.gov/java/profile?symbol=OLRIH"/>
    <hyperlink ref="C40" r:id="rId88" display="http://plants.usda.gov/java/profile?symbol=SOSC"/>
    <hyperlink ref="C227" r:id="rId89" display="http://plants.usda.gov/java/profile?symbol=SOSP2"/>
    <hyperlink ref="C71" r:id="rId90" display="http://plants.usda.gov/java/profile?symbol=SOUL2"/>
    <hyperlink ref="C249" r:id="rId91" display="http://plants.usda.gov/java/profile?symbol=OLAL2"/>
    <hyperlink ref="C63" r:id="rId92" display="http://plants.usda.gov/java/profile?symbol=VIPUP2"/>
    <hyperlink ref="C138" r:id="rId93" tooltip="Link to Plant Profile" display="http://plants.usda.gov/java/profile?symbol=BABR2"/>
    <hyperlink ref="C135" r:id="rId94" display="http://plants.usda.gov/java/profile?symbol=RUST2"/>
  </hyperlinks>
  <printOptions headings="1"/>
  <pageMargins left="0.2" right="0.2" top="0.2" bottom="0.3" header="0.2" footer="0.2"/>
  <pageSetup scale="35" fitToHeight="50" orientation="landscape" r:id="rId95"/>
  <headerFooter alignWithMargins="0">
    <oddFooter>&amp;L&amp;"Arial,Bold"&amp;K06-049Iowa Natural Resources Conservation Service&amp;C&amp;"Arial,Bold"&amp;K06-049Native Seed Mix Calculator Forb and Legume Species List&amp;R&amp;"Arial,Bold"&amp;K06-049&amp;D</oddFooter>
  </headerFooter>
</worksheet>
</file>

<file path=xl/worksheets/sheet6.xml><?xml version="1.0" encoding="utf-8"?>
<worksheet xmlns="http://schemas.openxmlformats.org/spreadsheetml/2006/main" xmlns:r="http://schemas.openxmlformats.org/officeDocument/2006/relationships">
  <sheetPr codeName="Woody">
    <tabColor theme="0" tint="-0.499984740745262"/>
    <pageSetUpPr fitToPage="1"/>
  </sheetPr>
  <dimension ref="A1:AM680"/>
  <sheetViews>
    <sheetView workbookViewId="0">
      <pane xSplit="3" ySplit="2" topLeftCell="D3" activePane="bottomRight" state="frozen"/>
      <selection pane="topRight" activeCell="D1" sqref="D1"/>
      <selection pane="bottomLeft" activeCell="A3" sqref="A3"/>
      <selection pane="bottomRight"/>
    </sheetView>
  </sheetViews>
  <sheetFormatPr defaultRowHeight="12.75"/>
  <cols>
    <col min="1" max="1" width="17.7109375" style="12" bestFit="1" customWidth="1"/>
    <col min="2" max="2" width="27.7109375" style="12" bestFit="1" customWidth="1"/>
    <col min="3" max="3" width="24.42578125" style="613" customWidth="1"/>
    <col min="4" max="6" width="7.85546875" style="229" customWidth="1"/>
    <col min="7" max="9" width="8.7109375" style="229" customWidth="1"/>
    <col min="10" max="10" width="9.42578125" style="229" customWidth="1"/>
    <col min="11" max="11" width="10.7109375" style="12" customWidth="1"/>
    <col min="12" max="12" width="5.28515625" style="12" customWidth="1"/>
    <col min="13" max="21" width="4.42578125" style="12" customWidth="1"/>
    <col min="22" max="22" width="12.7109375" style="12" customWidth="1"/>
    <col min="23" max="23" width="10" style="228" customWidth="1"/>
    <col min="24" max="24" width="9" style="228" customWidth="1"/>
    <col min="25" max="25" width="10.7109375" style="627" bestFit="1" customWidth="1"/>
    <col min="26" max="26" width="11.7109375" style="618" bestFit="1" customWidth="1"/>
    <col min="27" max="27" width="9.140625" style="616"/>
    <col min="28" max="30" width="9.140625" style="12"/>
    <col min="31" max="31" width="21.5703125" style="12" customWidth="1"/>
    <col min="32" max="32" width="12.5703125" style="331" bestFit="1" customWidth="1"/>
    <col min="33" max="33" width="30.42578125" style="12" bestFit="1" customWidth="1"/>
    <col min="34" max="34" width="27" style="332" customWidth="1"/>
  </cols>
  <sheetData>
    <row r="1" spans="1:39">
      <c r="D1" s="809" t="s">
        <v>855</v>
      </c>
      <c r="E1" s="809"/>
      <c r="F1" s="809"/>
      <c r="G1" s="809" t="s">
        <v>1098</v>
      </c>
      <c r="H1" s="809"/>
      <c r="I1" s="809"/>
      <c r="J1" s="809"/>
      <c r="K1" s="93"/>
      <c r="L1" s="810" t="s">
        <v>1102</v>
      </c>
      <c r="M1" s="816"/>
      <c r="N1" s="816"/>
      <c r="O1" s="816"/>
      <c r="P1" s="816"/>
      <c r="Q1" s="816"/>
      <c r="R1" s="816"/>
      <c r="S1" s="816"/>
      <c r="T1" s="816"/>
      <c r="U1" s="817"/>
    </row>
    <row r="2" spans="1:39" s="95" customFormat="1" ht="51">
      <c r="A2" s="598" t="s">
        <v>852</v>
      </c>
      <c r="B2" s="451" t="s">
        <v>857</v>
      </c>
      <c r="C2" s="614" t="s">
        <v>885</v>
      </c>
      <c r="D2" s="270" t="s">
        <v>1091</v>
      </c>
      <c r="E2" s="270" t="s">
        <v>1092</v>
      </c>
      <c r="F2" s="270" t="s">
        <v>1093</v>
      </c>
      <c r="G2" s="238" t="s">
        <v>1095</v>
      </c>
      <c r="H2" s="238" t="s">
        <v>1096</v>
      </c>
      <c r="I2" s="238" t="s">
        <v>1097</v>
      </c>
      <c r="J2" s="238" t="s">
        <v>1099</v>
      </c>
      <c r="K2" s="376" t="s">
        <v>1297</v>
      </c>
      <c r="L2" s="238" t="s">
        <v>1101</v>
      </c>
      <c r="M2" s="238" t="s">
        <v>1012</v>
      </c>
      <c r="N2" s="238" t="s">
        <v>1100</v>
      </c>
      <c r="O2" s="238" t="s">
        <v>1007</v>
      </c>
      <c r="P2" s="238" t="s">
        <v>1005</v>
      </c>
      <c r="Q2" s="238" t="s">
        <v>1009</v>
      </c>
      <c r="R2" s="238" t="s">
        <v>146</v>
      </c>
      <c r="S2" s="238" t="s">
        <v>1008</v>
      </c>
      <c r="T2" s="238" t="s">
        <v>1006</v>
      </c>
      <c r="U2" s="238" t="s">
        <v>145</v>
      </c>
      <c r="V2" s="451" t="s">
        <v>893</v>
      </c>
      <c r="W2" s="599" t="s">
        <v>860</v>
      </c>
      <c r="X2" s="599" t="s">
        <v>856</v>
      </c>
      <c r="Y2" s="628" t="s">
        <v>861</v>
      </c>
      <c r="Z2" s="619" t="s">
        <v>862</v>
      </c>
      <c r="AA2" s="617" t="s">
        <v>850</v>
      </c>
      <c r="AB2" s="376" t="s">
        <v>851</v>
      </c>
      <c r="AC2" s="376" t="s">
        <v>859</v>
      </c>
      <c r="AD2" s="376" t="s">
        <v>892</v>
      </c>
      <c r="AE2" s="272" t="s">
        <v>1067</v>
      </c>
      <c r="AF2" s="274" t="s">
        <v>8</v>
      </c>
      <c r="AG2" s="275" t="s">
        <v>223</v>
      </c>
      <c r="AH2" s="600" t="s">
        <v>1004</v>
      </c>
    </row>
    <row r="3" spans="1:39" s="13" customFormat="1">
      <c r="A3" s="601" t="s">
        <v>890</v>
      </c>
      <c r="B3" s="276"/>
      <c r="C3" s="277" t="s">
        <v>883</v>
      </c>
      <c r="D3" s="242" t="s">
        <v>1094</v>
      </c>
      <c r="E3" s="242" t="s">
        <v>1094</v>
      </c>
      <c r="F3" s="242" t="s">
        <v>1094</v>
      </c>
      <c r="G3" s="242" t="s">
        <v>1094</v>
      </c>
      <c r="H3" s="242" t="s">
        <v>1094</v>
      </c>
      <c r="I3" s="242" t="s">
        <v>1094</v>
      </c>
      <c r="J3" s="242" t="s">
        <v>1094</v>
      </c>
      <c r="K3" s="242">
        <v>1.0000000000000001E-5</v>
      </c>
      <c r="L3" s="593" t="s">
        <v>883</v>
      </c>
      <c r="M3" s="242" t="s">
        <v>1094</v>
      </c>
      <c r="N3" s="242" t="s">
        <v>1094</v>
      </c>
      <c r="O3" s="242" t="s">
        <v>1094</v>
      </c>
      <c r="P3" s="242" t="s">
        <v>1094</v>
      </c>
      <c r="Q3" s="242" t="s">
        <v>1094</v>
      </c>
      <c r="R3" s="242" t="s">
        <v>1094</v>
      </c>
      <c r="S3" s="242" t="s">
        <v>1094</v>
      </c>
      <c r="T3" s="242" t="s">
        <v>1094</v>
      </c>
      <c r="U3" s="242" t="s">
        <v>1094</v>
      </c>
      <c r="W3" s="440"/>
      <c r="X3" s="440"/>
      <c r="Y3" s="441"/>
      <c r="Z3" s="620"/>
      <c r="AA3" s="595"/>
      <c r="AB3" s="443"/>
      <c r="AC3" s="443"/>
      <c r="AD3" s="337"/>
      <c r="AE3" s="593"/>
      <c r="AF3" s="602"/>
      <c r="AG3" s="282"/>
      <c r="AH3" s="603"/>
    </row>
    <row r="4" spans="1:39" s="105" customFormat="1">
      <c r="A4" s="242" t="s">
        <v>1089</v>
      </c>
      <c r="B4" s="593" t="s">
        <v>585</v>
      </c>
      <c r="C4" s="594" t="s">
        <v>11238</v>
      </c>
      <c r="D4" s="420" t="s">
        <v>883</v>
      </c>
      <c r="E4" s="420" t="s">
        <v>1094</v>
      </c>
      <c r="F4" s="420" t="s">
        <v>883</v>
      </c>
      <c r="G4" s="420" t="s">
        <v>883</v>
      </c>
      <c r="H4" s="420" t="s">
        <v>1094</v>
      </c>
      <c r="I4" s="420" t="s">
        <v>883</v>
      </c>
      <c r="J4" s="420" t="s">
        <v>1094</v>
      </c>
      <c r="K4" s="278">
        <f t="shared" ref="K4:K35" si="0">Y4/AA4</f>
        <v>2.7533039647577094E-3</v>
      </c>
      <c r="L4" s="416" t="s">
        <v>883</v>
      </c>
      <c r="M4" s="416" t="s">
        <v>883</v>
      </c>
      <c r="N4" s="416" t="s">
        <v>883</v>
      </c>
      <c r="O4" s="416" t="s">
        <v>883</v>
      </c>
      <c r="P4" s="416" t="s">
        <v>1094</v>
      </c>
      <c r="Q4" s="416" t="s">
        <v>883</v>
      </c>
      <c r="R4" s="416" t="s">
        <v>883</v>
      </c>
      <c r="S4" s="416" t="s">
        <v>883</v>
      </c>
      <c r="T4" s="416" t="s">
        <v>883</v>
      </c>
      <c r="U4" s="416" t="s">
        <v>883</v>
      </c>
      <c r="V4" s="284">
        <f t="shared" ref="V4:V35" si="1">35/AC4</f>
        <v>139.92290748898679</v>
      </c>
      <c r="W4" s="416"/>
      <c r="X4" s="416"/>
      <c r="Y4" s="629">
        <f>Z4/16</f>
        <v>1.875</v>
      </c>
      <c r="Z4" s="624">
        <v>30</v>
      </c>
      <c r="AA4" s="595">
        <v>681</v>
      </c>
      <c r="AB4" s="261">
        <f t="shared" ref="AB4:AB35" si="2">AA4/43560</f>
        <v>1.5633608815426997E-2</v>
      </c>
      <c r="AC4" s="261">
        <f t="shared" ref="AC4:AC35" si="3">AB4*16</f>
        <v>0.25013774104683195</v>
      </c>
      <c r="AD4" s="595"/>
      <c r="AE4" s="593" t="s">
        <v>292</v>
      </c>
      <c r="AF4" s="346">
        <v>10</v>
      </c>
      <c r="AG4" s="281" t="s">
        <v>1042</v>
      </c>
      <c r="AH4" s="593" t="s">
        <v>11306</v>
      </c>
      <c r="AI4" s="13"/>
      <c r="AJ4" s="13"/>
      <c r="AK4" s="13"/>
      <c r="AL4" s="13"/>
      <c r="AM4" s="13"/>
    </row>
    <row r="5" spans="1:39" s="13" customFormat="1">
      <c r="A5" s="242" t="s">
        <v>1089</v>
      </c>
      <c r="B5" s="281" t="s">
        <v>585</v>
      </c>
      <c r="C5" s="594" t="s">
        <v>11008</v>
      </c>
      <c r="D5" s="420" t="s">
        <v>883</v>
      </c>
      <c r="E5" s="420" t="s">
        <v>1094</v>
      </c>
      <c r="F5" s="420" t="s">
        <v>883</v>
      </c>
      <c r="G5" s="420" t="s">
        <v>883</v>
      </c>
      <c r="H5" s="420" t="s">
        <v>1094</v>
      </c>
      <c r="I5" s="420" t="s">
        <v>883</v>
      </c>
      <c r="J5" s="420" t="s">
        <v>1094</v>
      </c>
      <c r="K5" s="278">
        <f t="shared" si="0"/>
        <v>7.8010279001468428E-3</v>
      </c>
      <c r="L5" s="278" t="s">
        <v>883</v>
      </c>
      <c r="M5" s="278" t="s">
        <v>883</v>
      </c>
      <c r="N5" s="278" t="s">
        <v>883</v>
      </c>
      <c r="O5" s="278" t="s">
        <v>883</v>
      </c>
      <c r="P5" s="278" t="s">
        <v>1094</v>
      </c>
      <c r="Q5" s="278" t="s">
        <v>883</v>
      </c>
      <c r="R5" s="278" t="s">
        <v>883</v>
      </c>
      <c r="S5" s="278" t="s">
        <v>883</v>
      </c>
      <c r="T5" s="278" t="s">
        <v>883</v>
      </c>
      <c r="U5" s="278" t="s">
        <v>883</v>
      </c>
      <c r="V5" s="284">
        <f t="shared" si="1"/>
        <v>139.92290748898679</v>
      </c>
      <c r="W5" s="610"/>
      <c r="X5" s="611"/>
      <c r="Y5" s="604">
        <f>SUM(Z5/16)</f>
        <v>5.3125</v>
      </c>
      <c r="Z5" s="622">
        <v>85</v>
      </c>
      <c r="AA5" s="631">
        <v>681</v>
      </c>
      <c r="AB5" s="261">
        <f t="shared" si="2"/>
        <v>1.5633608815426997E-2</v>
      </c>
      <c r="AC5" s="261">
        <f t="shared" si="3"/>
        <v>0.25013774104683195</v>
      </c>
      <c r="AD5" s="606"/>
      <c r="AE5" s="593" t="s">
        <v>292</v>
      </c>
      <c r="AF5" s="339">
        <v>10</v>
      </c>
      <c r="AG5" s="338" t="s">
        <v>1042</v>
      </c>
      <c r="AH5" s="280" t="s">
        <v>1015</v>
      </c>
    </row>
    <row r="6" spans="1:39" s="13" customFormat="1">
      <c r="A6" s="242" t="s">
        <v>1089</v>
      </c>
      <c r="B6" s="338" t="s">
        <v>553</v>
      </c>
      <c r="C6" s="594" t="s">
        <v>834</v>
      </c>
      <c r="D6" s="420" t="s">
        <v>1094</v>
      </c>
      <c r="E6" s="420" t="s">
        <v>1094</v>
      </c>
      <c r="F6" s="420" t="s">
        <v>883</v>
      </c>
      <c r="G6" s="420" t="s">
        <v>883</v>
      </c>
      <c r="H6" s="420" t="s">
        <v>1094</v>
      </c>
      <c r="I6" s="420" t="s">
        <v>883</v>
      </c>
      <c r="J6" s="420" t="s">
        <v>1094</v>
      </c>
      <c r="K6" s="278">
        <f t="shared" si="0"/>
        <v>8.9285714285714288E-2</v>
      </c>
      <c r="L6" s="278" t="s">
        <v>1094</v>
      </c>
      <c r="M6" s="278" t="s">
        <v>1094</v>
      </c>
      <c r="N6" s="278" t="s">
        <v>1094</v>
      </c>
      <c r="O6" s="278" t="s">
        <v>1094</v>
      </c>
      <c r="P6" s="278" t="s">
        <v>1094</v>
      </c>
      <c r="Q6" s="278" t="s">
        <v>1094</v>
      </c>
      <c r="R6" s="278" t="s">
        <v>1094</v>
      </c>
      <c r="S6" s="278" t="s">
        <v>1094</v>
      </c>
      <c r="T6" s="278" t="s">
        <v>1094</v>
      </c>
      <c r="U6" s="278" t="s">
        <v>1094</v>
      </c>
      <c r="V6" s="284">
        <f t="shared" si="1"/>
        <v>4537.5</v>
      </c>
      <c r="W6" s="610"/>
      <c r="X6" s="611"/>
      <c r="Y6" s="629">
        <f>Z6/16</f>
        <v>1.875</v>
      </c>
      <c r="Z6" s="622">
        <v>30</v>
      </c>
      <c r="AA6" s="631">
        <v>21</v>
      </c>
      <c r="AB6" s="261">
        <f t="shared" si="2"/>
        <v>4.8209366391184575E-4</v>
      </c>
      <c r="AC6" s="261">
        <f t="shared" si="3"/>
        <v>7.7134986225895321E-3</v>
      </c>
      <c r="AD6" s="606"/>
      <c r="AE6" s="593" t="s">
        <v>290</v>
      </c>
      <c r="AF6" s="339">
        <v>3</v>
      </c>
      <c r="AG6" s="338" t="s">
        <v>1042</v>
      </c>
      <c r="AH6" s="280" t="s">
        <v>1016</v>
      </c>
    </row>
    <row r="7" spans="1:39" s="105" customFormat="1">
      <c r="A7" s="242" t="s">
        <v>1089</v>
      </c>
      <c r="B7" s="607" t="s">
        <v>11251</v>
      </c>
      <c r="C7" s="608" t="s">
        <v>10940</v>
      </c>
      <c r="D7" s="420" t="s">
        <v>883</v>
      </c>
      <c r="E7" s="420" t="s">
        <v>1094</v>
      </c>
      <c r="F7" s="420" t="s">
        <v>883</v>
      </c>
      <c r="G7" s="420" t="s">
        <v>883</v>
      </c>
      <c r="H7" s="420" t="s">
        <v>883</v>
      </c>
      <c r="I7" s="420" t="s">
        <v>883</v>
      </c>
      <c r="J7" s="420" t="s">
        <v>1094</v>
      </c>
      <c r="K7" s="278">
        <f t="shared" si="0"/>
        <v>7.5591960352422904E-4</v>
      </c>
      <c r="L7" s="420" t="s">
        <v>1094</v>
      </c>
      <c r="M7" s="420" t="s">
        <v>1094</v>
      </c>
      <c r="N7" s="420" t="s">
        <v>1094</v>
      </c>
      <c r="O7" s="420" t="s">
        <v>1094</v>
      </c>
      <c r="P7" s="420" t="s">
        <v>1094</v>
      </c>
      <c r="Q7" s="420" t="s">
        <v>1094</v>
      </c>
      <c r="R7" s="420" t="s">
        <v>1094</v>
      </c>
      <c r="S7" s="420" t="s">
        <v>1094</v>
      </c>
      <c r="T7" s="420" t="s">
        <v>1094</v>
      </c>
      <c r="U7" s="420" t="s">
        <v>1094</v>
      </c>
      <c r="V7" s="284">
        <f t="shared" si="1"/>
        <v>20.98843612334802</v>
      </c>
      <c r="W7" s="420"/>
      <c r="X7" s="420"/>
      <c r="Y7" s="626">
        <f>Z7/16</f>
        <v>3.4318749999999998</v>
      </c>
      <c r="Z7" s="621">
        <v>54.91</v>
      </c>
      <c r="AA7" s="609">
        <v>4540</v>
      </c>
      <c r="AB7" s="261">
        <f t="shared" si="2"/>
        <v>0.10422405876951331</v>
      </c>
      <c r="AC7" s="261">
        <f t="shared" si="3"/>
        <v>1.6675849403122129</v>
      </c>
      <c r="AD7" s="609"/>
      <c r="AE7" s="597" t="s">
        <v>863</v>
      </c>
      <c r="AF7" s="420">
        <v>5</v>
      </c>
      <c r="AG7" s="612" t="s">
        <v>1045</v>
      </c>
      <c r="AH7" s="612"/>
      <c r="AI7" s="104"/>
      <c r="AJ7" s="13"/>
      <c r="AK7" s="13"/>
      <c r="AL7" s="13"/>
      <c r="AM7" s="104"/>
    </row>
    <row r="8" spans="1:39" s="13" customFormat="1">
      <c r="A8" s="242" t="s">
        <v>1089</v>
      </c>
      <c r="B8" s="607" t="s">
        <v>11239</v>
      </c>
      <c r="C8" s="608" t="s">
        <v>11240</v>
      </c>
      <c r="D8" s="420" t="s">
        <v>883</v>
      </c>
      <c r="E8" s="420" t="s">
        <v>1094</v>
      </c>
      <c r="F8" s="420" t="s">
        <v>883</v>
      </c>
      <c r="G8" s="420" t="s">
        <v>883</v>
      </c>
      <c r="H8" s="420" t="s">
        <v>1094</v>
      </c>
      <c r="I8" s="420" t="s">
        <v>883</v>
      </c>
      <c r="J8" s="420" t="s">
        <v>1094</v>
      </c>
      <c r="K8" s="278">
        <f t="shared" si="0"/>
        <v>0</v>
      </c>
      <c r="L8" s="420" t="s">
        <v>1094</v>
      </c>
      <c r="M8" s="420" t="s">
        <v>1094</v>
      </c>
      <c r="N8" s="420" t="s">
        <v>1094</v>
      </c>
      <c r="O8" s="420" t="s">
        <v>1094</v>
      </c>
      <c r="P8" s="420" t="s">
        <v>1094</v>
      </c>
      <c r="Q8" s="420" t="s">
        <v>1094</v>
      </c>
      <c r="R8" s="420" t="s">
        <v>1094</v>
      </c>
      <c r="S8" s="420" t="s">
        <v>1094</v>
      </c>
      <c r="T8" s="420" t="s">
        <v>1094</v>
      </c>
      <c r="U8" s="420" t="s">
        <v>1094</v>
      </c>
      <c r="V8" s="284">
        <f t="shared" si="1"/>
        <v>1764.5833333333333</v>
      </c>
      <c r="W8" s="420"/>
      <c r="X8" s="420"/>
      <c r="Y8" s="626">
        <v>0</v>
      </c>
      <c r="Z8" s="621">
        <v>0</v>
      </c>
      <c r="AA8" s="609">
        <v>54</v>
      </c>
      <c r="AB8" s="261">
        <f t="shared" si="2"/>
        <v>1.2396694214876034E-3</v>
      </c>
      <c r="AC8" s="261">
        <f t="shared" si="3"/>
        <v>1.9834710743801654E-2</v>
      </c>
      <c r="AD8" s="609"/>
      <c r="AE8" s="597" t="s">
        <v>290</v>
      </c>
      <c r="AF8" s="420">
        <v>2</v>
      </c>
      <c r="AG8" s="597" t="s">
        <v>1042</v>
      </c>
      <c r="AH8" s="597" t="s">
        <v>1010</v>
      </c>
      <c r="AK8" s="104"/>
    </row>
    <row r="9" spans="1:39" s="13" customFormat="1">
      <c r="A9" s="242" t="s">
        <v>1089</v>
      </c>
      <c r="B9" s="338" t="s">
        <v>583</v>
      </c>
      <c r="C9" s="594" t="s">
        <v>569</v>
      </c>
      <c r="D9" s="420" t="s">
        <v>1094</v>
      </c>
      <c r="E9" s="420" t="s">
        <v>1094</v>
      </c>
      <c r="F9" s="420" t="s">
        <v>883</v>
      </c>
      <c r="G9" s="420" t="s">
        <v>883</v>
      </c>
      <c r="H9" s="420" t="s">
        <v>1094</v>
      </c>
      <c r="I9" s="420" t="s">
        <v>883</v>
      </c>
      <c r="J9" s="420" t="s">
        <v>1094</v>
      </c>
      <c r="K9" s="278">
        <f t="shared" si="0"/>
        <v>1.5560165975103733E-3</v>
      </c>
      <c r="L9" s="278" t="s">
        <v>883</v>
      </c>
      <c r="M9" s="278" t="s">
        <v>883</v>
      </c>
      <c r="N9" s="278" t="s">
        <v>883</v>
      </c>
      <c r="O9" s="278" t="s">
        <v>883</v>
      </c>
      <c r="P9" s="278" t="s">
        <v>883</v>
      </c>
      <c r="Q9" s="278" t="s">
        <v>883</v>
      </c>
      <c r="R9" s="278" t="s">
        <v>883</v>
      </c>
      <c r="S9" s="278" t="s">
        <v>883</v>
      </c>
      <c r="T9" s="278" t="s">
        <v>1094</v>
      </c>
      <c r="U9" s="278" t="s">
        <v>883</v>
      </c>
      <c r="V9" s="284">
        <f t="shared" si="1"/>
        <v>79.076763485477173</v>
      </c>
      <c r="W9" s="610"/>
      <c r="X9" s="611"/>
      <c r="Y9" s="604">
        <f>SUM(Z9/16)</f>
        <v>1.875</v>
      </c>
      <c r="Z9" s="622">
        <v>30</v>
      </c>
      <c r="AA9" s="631">
        <v>1205</v>
      </c>
      <c r="AB9" s="261">
        <f t="shared" si="2"/>
        <v>2.7662993572084481E-2</v>
      </c>
      <c r="AC9" s="261">
        <f t="shared" si="3"/>
        <v>0.44260789715335169</v>
      </c>
      <c r="AD9" s="606"/>
      <c r="AE9" s="593" t="s">
        <v>863</v>
      </c>
      <c r="AF9" s="338" t="s">
        <v>615</v>
      </c>
      <c r="AG9" s="338" t="s">
        <v>1042</v>
      </c>
      <c r="AH9" s="280" t="s">
        <v>1015</v>
      </c>
      <c r="AK9" s="104"/>
    </row>
    <row r="10" spans="1:39" s="13" customFormat="1">
      <c r="A10" s="242" t="s">
        <v>1089</v>
      </c>
      <c r="B10" s="597" t="s">
        <v>11252</v>
      </c>
      <c r="C10" s="608" t="s">
        <v>10171</v>
      </c>
      <c r="D10" s="420" t="s">
        <v>1094</v>
      </c>
      <c r="E10" s="420" t="s">
        <v>1094</v>
      </c>
      <c r="F10" s="420" t="s">
        <v>883</v>
      </c>
      <c r="G10" s="420" t="s">
        <v>883</v>
      </c>
      <c r="H10" s="420" t="s">
        <v>883</v>
      </c>
      <c r="I10" s="420" t="s">
        <v>883</v>
      </c>
      <c r="J10" s="420" t="s">
        <v>1094</v>
      </c>
      <c r="K10" s="278">
        <f t="shared" si="0"/>
        <v>2.8942731277533041E-6</v>
      </c>
      <c r="L10" s="420" t="s">
        <v>883</v>
      </c>
      <c r="M10" s="420" t="s">
        <v>883</v>
      </c>
      <c r="N10" s="420" t="s">
        <v>1094</v>
      </c>
      <c r="O10" s="420" t="s">
        <v>1094</v>
      </c>
      <c r="P10" s="420" t="s">
        <v>1094</v>
      </c>
      <c r="Q10" s="420" t="s">
        <v>883</v>
      </c>
      <c r="R10" s="420" t="s">
        <v>883</v>
      </c>
      <c r="S10" s="420" t="s">
        <v>1094</v>
      </c>
      <c r="T10" s="420" t="s">
        <v>883</v>
      </c>
      <c r="U10" s="420" t="s">
        <v>883</v>
      </c>
      <c r="V10" s="284">
        <f t="shared" si="1"/>
        <v>0.33581497797356824</v>
      </c>
      <c r="W10" s="420"/>
      <c r="X10" s="420"/>
      <c r="Y10" s="626">
        <f>Z10/16</f>
        <v>0.82125000000000004</v>
      </c>
      <c r="Z10" s="621">
        <v>13.14</v>
      </c>
      <c r="AA10" s="609">
        <v>283750</v>
      </c>
      <c r="AB10" s="261">
        <f t="shared" si="2"/>
        <v>6.5140036730945825</v>
      </c>
      <c r="AC10" s="261">
        <f t="shared" si="3"/>
        <v>104.22405876951332</v>
      </c>
      <c r="AD10" s="609"/>
      <c r="AE10" s="597" t="s">
        <v>290</v>
      </c>
      <c r="AF10" s="420">
        <v>4</v>
      </c>
      <c r="AG10" s="597" t="s">
        <v>1045</v>
      </c>
      <c r="AH10" s="597"/>
    </row>
    <row r="11" spans="1:39" s="13" customFormat="1">
      <c r="A11" s="242" t="s">
        <v>1089</v>
      </c>
      <c r="B11" s="607" t="s">
        <v>11253</v>
      </c>
      <c r="C11" s="608" t="s">
        <v>9534</v>
      </c>
      <c r="D11" s="420" t="s">
        <v>1094</v>
      </c>
      <c r="E11" s="420" t="s">
        <v>1094</v>
      </c>
      <c r="F11" s="420" t="s">
        <v>883</v>
      </c>
      <c r="G11" s="420" t="s">
        <v>883</v>
      </c>
      <c r="H11" s="420" t="s">
        <v>883</v>
      </c>
      <c r="I11" s="420" t="s">
        <v>883</v>
      </c>
      <c r="J11" s="420" t="s">
        <v>1094</v>
      </c>
      <c r="K11" s="278">
        <f t="shared" si="0"/>
        <v>0.18062499999999998</v>
      </c>
      <c r="L11" s="420" t="s">
        <v>1094</v>
      </c>
      <c r="M11" s="420" t="s">
        <v>1094</v>
      </c>
      <c r="N11" s="420" t="s">
        <v>1094</v>
      </c>
      <c r="O11" s="420" t="s">
        <v>1094</v>
      </c>
      <c r="P11" s="420" t="s">
        <v>1094</v>
      </c>
      <c r="Q11" s="420" t="s">
        <v>1094</v>
      </c>
      <c r="R11" s="420" t="s">
        <v>1094</v>
      </c>
      <c r="S11" s="420" t="s">
        <v>1094</v>
      </c>
      <c r="T11" s="420" t="s">
        <v>1094</v>
      </c>
      <c r="U11" s="420" t="s">
        <v>1094</v>
      </c>
      <c r="V11" s="284">
        <f t="shared" si="1"/>
        <v>19057.5</v>
      </c>
      <c r="W11" s="420"/>
      <c r="X11" s="420"/>
      <c r="Y11" s="626">
        <f>Z11/16</f>
        <v>0.90312499999999996</v>
      </c>
      <c r="Z11" s="621">
        <v>14.45</v>
      </c>
      <c r="AA11" s="609">
        <v>5</v>
      </c>
      <c r="AB11" s="261">
        <f t="shared" si="2"/>
        <v>1.147842056932966E-4</v>
      </c>
      <c r="AC11" s="261">
        <f t="shared" si="3"/>
        <v>1.8365472910927456E-3</v>
      </c>
      <c r="AD11" s="609"/>
      <c r="AE11" s="597" t="s">
        <v>290</v>
      </c>
      <c r="AF11" s="420">
        <v>5</v>
      </c>
      <c r="AG11" s="597" t="s">
        <v>1045</v>
      </c>
      <c r="AH11" s="597"/>
    </row>
    <row r="12" spans="1:39" s="13" customFormat="1">
      <c r="A12" s="242" t="s">
        <v>1089</v>
      </c>
      <c r="B12" s="338" t="s">
        <v>849</v>
      </c>
      <c r="C12" s="594" t="s">
        <v>848</v>
      </c>
      <c r="D12" s="420" t="s">
        <v>1094</v>
      </c>
      <c r="E12" s="420" t="s">
        <v>1094</v>
      </c>
      <c r="F12" s="420" t="s">
        <v>883</v>
      </c>
      <c r="G12" s="420" t="s">
        <v>883</v>
      </c>
      <c r="H12" s="420" t="s">
        <v>883</v>
      </c>
      <c r="I12" s="420" t="s">
        <v>883</v>
      </c>
      <c r="J12" s="420" t="s">
        <v>1094</v>
      </c>
      <c r="K12" s="278">
        <f t="shared" si="0"/>
        <v>1.0416666666666666E-2</v>
      </c>
      <c r="L12" s="278" t="s">
        <v>1094</v>
      </c>
      <c r="M12" s="278" t="s">
        <v>1094</v>
      </c>
      <c r="N12" s="278" t="s">
        <v>1094</v>
      </c>
      <c r="O12" s="278" t="s">
        <v>1094</v>
      </c>
      <c r="P12" s="278" t="s">
        <v>1094</v>
      </c>
      <c r="Q12" s="278" t="s">
        <v>1094</v>
      </c>
      <c r="R12" s="278" t="s">
        <v>1094</v>
      </c>
      <c r="S12" s="278" t="s">
        <v>1094</v>
      </c>
      <c r="T12" s="278" t="s">
        <v>1094</v>
      </c>
      <c r="U12" s="278" t="s">
        <v>1094</v>
      </c>
      <c r="V12" s="284">
        <f t="shared" si="1"/>
        <v>52.9375</v>
      </c>
      <c r="W12" s="610"/>
      <c r="X12" s="611"/>
      <c r="Y12" s="604">
        <f>SUM(Z12/16)</f>
        <v>18.75</v>
      </c>
      <c r="Z12" s="622">
        <v>300</v>
      </c>
      <c r="AA12" s="631">
        <v>1800</v>
      </c>
      <c r="AB12" s="261">
        <f t="shared" si="2"/>
        <v>4.1322314049586778E-2</v>
      </c>
      <c r="AC12" s="261">
        <f t="shared" si="3"/>
        <v>0.66115702479338845</v>
      </c>
      <c r="AD12" s="606"/>
      <c r="AE12" s="593" t="s">
        <v>292</v>
      </c>
      <c r="AF12" s="339">
        <v>1</v>
      </c>
      <c r="AG12" s="338" t="s">
        <v>1051</v>
      </c>
      <c r="AH12" s="593" t="s">
        <v>1010</v>
      </c>
    </row>
    <row r="13" spans="1:39" s="104" customFormat="1">
      <c r="A13" s="242" t="s">
        <v>1089</v>
      </c>
      <c r="B13" s="607" t="s">
        <v>11254</v>
      </c>
      <c r="C13" s="608" t="s">
        <v>11264</v>
      </c>
      <c r="D13" s="420" t="s">
        <v>1094</v>
      </c>
      <c r="E13" s="420" t="s">
        <v>1094</v>
      </c>
      <c r="F13" s="420" t="s">
        <v>883</v>
      </c>
      <c r="G13" s="420" t="s">
        <v>883</v>
      </c>
      <c r="H13" s="420" t="s">
        <v>1094</v>
      </c>
      <c r="I13" s="420" t="s">
        <v>883</v>
      </c>
      <c r="J13" s="420" t="s">
        <v>1094</v>
      </c>
      <c r="K13" s="278">
        <f t="shared" si="0"/>
        <v>5.3986378205128204E-3</v>
      </c>
      <c r="L13" s="420" t="s">
        <v>1094</v>
      </c>
      <c r="M13" s="420" t="s">
        <v>1094</v>
      </c>
      <c r="N13" s="420" t="s">
        <v>1094</v>
      </c>
      <c r="O13" s="420" t="s">
        <v>1094</v>
      </c>
      <c r="P13" s="420" t="s">
        <v>1094</v>
      </c>
      <c r="Q13" s="420" t="s">
        <v>1094</v>
      </c>
      <c r="R13" s="420" t="s">
        <v>1094</v>
      </c>
      <c r="S13" s="420" t="s">
        <v>1094</v>
      </c>
      <c r="T13" s="420" t="s">
        <v>1094</v>
      </c>
      <c r="U13" s="420" t="s">
        <v>1094</v>
      </c>
      <c r="V13" s="284">
        <f t="shared" si="1"/>
        <v>305.40865384615387</v>
      </c>
      <c r="W13" s="420"/>
      <c r="X13" s="420"/>
      <c r="Y13" s="626">
        <f>Z13/16</f>
        <v>1.684375</v>
      </c>
      <c r="Z13" s="621">
        <v>26.95</v>
      </c>
      <c r="AA13" s="609">
        <v>312</v>
      </c>
      <c r="AB13" s="261">
        <f t="shared" si="2"/>
        <v>7.1625344352617077E-3</v>
      </c>
      <c r="AC13" s="261">
        <f t="shared" si="3"/>
        <v>0.11460055096418732</v>
      </c>
      <c r="AD13" s="609"/>
      <c r="AE13" s="597" t="s">
        <v>292</v>
      </c>
      <c r="AF13" s="420">
        <v>3</v>
      </c>
      <c r="AG13" s="597" t="s">
        <v>1045</v>
      </c>
      <c r="AH13" s="597" t="s">
        <v>1010</v>
      </c>
      <c r="AI13" s="13"/>
      <c r="AJ13" s="13"/>
      <c r="AK13" s="13"/>
      <c r="AL13" s="13"/>
      <c r="AM13" s="13"/>
    </row>
    <row r="14" spans="1:39" s="104" customFormat="1">
      <c r="A14" s="242" t="s">
        <v>1089</v>
      </c>
      <c r="B14" s="593" t="s">
        <v>11241</v>
      </c>
      <c r="C14" s="594" t="s">
        <v>10096</v>
      </c>
      <c r="D14" s="420" t="s">
        <v>1094</v>
      </c>
      <c r="E14" s="420" t="s">
        <v>1094</v>
      </c>
      <c r="F14" s="420" t="s">
        <v>883</v>
      </c>
      <c r="G14" s="420" t="s">
        <v>1094</v>
      </c>
      <c r="H14" s="420" t="s">
        <v>1094</v>
      </c>
      <c r="I14" s="420" t="s">
        <v>883</v>
      </c>
      <c r="J14" s="420" t="s">
        <v>1094</v>
      </c>
      <c r="K14" s="278">
        <f t="shared" si="0"/>
        <v>6.0144025604551916E-6</v>
      </c>
      <c r="L14" s="416" t="s">
        <v>883</v>
      </c>
      <c r="M14" s="416" t="s">
        <v>883</v>
      </c>
      <c r="N14" s="416" t="s">
        <v>883</v>
      </c>
      <c r="O14" s="416" t="s">
        <v>883</v>
      </c>
      <c r="P14" s="416" t="s">
        <v>1094</v>
      </c>
      <c r="Q14" s="416" t="s">
        <v>883</v>
      </c>
      <c r="R14" s="416" t="s">
        <v>883</v>
      </c>
      <c r="S14" s="416" t="s">
        <v>883</v>
      </c>
      <c r="T14" s="416" t="s">
        <v>883</v>
      </c>
      <c r="U14" s="416" t="s">
        <v>883</v>
      </c>
      <c r="V14" s="284">
        <f t="shared" si="1"/>
        <v>0.67772048364153625</v>
      </c>
      <c r="W14" s="416"/>
      <c r="X14" s="416"/>
      <c r="Y14" s="629">
        <f>Z14/16</f>
        <v>0.84562499999999996</v>
      </c>
      <c r="Z14" s="624">
        <v>13.53</v>
      </c>
      <c r="AA14" s="595">
        <v>140600</v>
      </c>
      <c r="AB14" s="261">
        <f t="shared" si="2"/>
        <v>3.2277318640955004</v>
      </c>
      <c r="AC14" s="261">
        <f t="shared" si="3"/>
        <v>51.643709825528006</v>
      </c>
      <c r="AD14" s="595"/>
      <c r="AE14" s="593" t="s">
        <v>292</v>
      </c>
      <c r="AF14" s="346">
        <v>10</v>
      </c>
      <c r="AG14" s="597" t="s">
        <v>1042</v>
      </c>
      <c r="AH14" s="597" t="s">
        <v>1010</v>
      </c>
      <c r="AI14" s="13"/>
      <c r="AJ14" s="13"/>
      <c r="AK14" s="13"/>
      <c r="AL14" s="13"/>
      <c r="AM14" s="13"/>
    </row>
    <row r="15" spans="1:39" s="105" customFormat="1">
      <c r="A15" s="242" t="s">
        <v>1089</v>
      </c>
      <c r="B15" s="607" t="s">
        <v>11242</v>
      </c>
      <c r="C15" s="608" t="s">
        <v>11243</v>
      </c>
      <c r="D15" s="420" t="s">
        <v>883</v>
      </c>
      <c r="E15" s="420" t="s">
        <v>1094</v>
      </c>
      <c r="F15" s="420" t="s">
        <v>883</v>
      </c>
      <c r="G15" s="420" t="s">
        <v>1094</v>
      </c>
      <c r="H15" s="420" t="s">
        <v>1094</v>
      </c>
      <c r="I15" s="420" t="s">
        <v>883</v>
      </c>
      <c r="J15" s="420" t="s">
        <v>1094</v>
      </c>
      <c r="K15" s="278">
        <f t="shared" si="0"/>
        <v>2.3632936622566296E-4</v>
      </c>
      <c r="L15" s="420" t="s">
        <v>1094</v>
      </c>
      <c r="M15" s="420" t="s">
        <v>1094</v>
      </c>
      <c r="N15" s="420" t="s">
        <v>1094</v>
      </c>
      <c r="O15" s="420" t="s">
        <v>1094</v>
      </c>
      <c r="P15" s="420" t="s">
        <v>1094</v>
      </c>
      <c r="Q15" s="420" t="s">
        <v>1094</v>
      </c>
      <c r="R15" s="420" t="s">
        <v>1094</v>
      </c>
      <c r="S15" s="420" t="s">
        <v>1094</v>
      </c>
      <c r="T15" s="420" t="s">
        <v>1094</v>
      </c>
      <c r="U15" s="420" t="s">
        <v>1094</v>
      </c>
      <c r="V15" s="284">
        <f t="shared" si="1"/>
        <v>5.5050840603154434</v>
      </c>
      <c r="W15" s="420"/>
      <c r="X15" s="420"/>
      <c r="Y15" s="626">
        <f>Z15/16</f>
        <v>4.0906250000000002</v>
      </c>
      <c r="Z15" s="621">
        <v>65.45</v>
      </c>
      <c r="AA15" s="609">
        <v>17309</v>
      </c>
      <c r="AB15" s="261">
        <f t="shared" si="2"/>
        <v>0.39735996326905415</v>
      </c>
      <c r="AC15" s="261">
        <f t="shared" si="3"/>
        <v>6.3577594123048664</v>
      </c>
      <c r="AD15" s="609"/>
      <c r="AE15" s="597" t="s">
        <v>863</v>
      </c>
      <c r="AF15" s="420">
        <v>1</v>
      </c>
      <c r="AG15" s="597" t="s">
        <v>1042</v>
      </c>
      <c r="AH15" s="597"/>
      <c r="AI15" s="13"/>
      <c r="AJ15" s="13"/>
      <c r="AK15" s="13"/>
      <c r="AL15" s="13"/>
      <c r="AM15" s="13"/>
    </row>
    <row r="16" spans="1:39" s="211" customFormat="1">
      <c r="A16" s="242" t="s">
        <v>1089</v>
      </c>
      <c r="B16" s="607" t="s">
        <v>11255</v>
      </c>
      <c r="C16" s="608" t="s">
        <v>10310</v>
      </c>
      <c r="D16" s="420" t="s">
        <v>1094</v>
      </c>
      <c r="E16" s="420" t="s">
        <v>1094</v>
      </c>
      <c r="F16" s="420" t="s">
        <v>883</v>
      </c>
      <c r="G16" s="420" t="s">
        <v>883</v>
      </c>
      <c r="H16" s="420" t="s">
        <v>1094</v>
      </c>
      <c r="I16" s="420" t="s">
        <v>883</v>
      </c>
      <c r="J16" s="420" t="s">
        <v>1094</v>
      </c>
      <c r="K16" s="278">
        <f t="shared" si="0"/>
        <v>4.6375E-2</v>
      </c>
      <c r="L16" s="420" t="s">
        <v>1094</v>
      </c>
      <c r="M16" s="420" t="s">
        <v>1094</v>
      </c>
      <c r="N16" s="420" t="s">
        <v>1094</v>
      </c>
      <c r="O16" s="420" t="s">
        <v>1094</v>
      </c>
      <c r="P16" s="420" t="s">
        <v>1094</v>
      </c>
      <c r="Q16" s="420" t="s">
        <v>1094</v>
      </c>
      <c r="R16" s="420" t="s">
        <v>1094</v>
      </c>
      <c r="S16" s="420" t="s">
        <v>1094</v>
      </c>
      <c r="T16" s="420" t="s">
        <v>1094</v>
      </c>
      <c r="U16" s="420" t="s">
        <v>1094</v>
      </c>
      <c r="V16" s="284">
        <f t="shared" si="1"/>
        <v>4764.375</v>
      </c>
      <c r="W16" s="420"/>
      <c r="X16" s="420"/>
      <c r="Y16" s="626">
        <f>Z16/16</f>
        <v>0.92749999999999999</v>
      </c>
      <c r="Z16" s="621">
        <v>14.84</v>
      </c>
      <c r="AA16" s="609">
        <v>20</v>
      </c>
      <c r="AB16" s="261">
        <f t="shared" si="2"/>
        <v>4.591368227731864E-4</v>
      </c>
      <c r="AC16" s="261">
        <f t="shared" si="3"/>
        <v>7.3461891643709825E-3</v>
      </c>
      <c r="AD16" s="609"/>
      <c r="AE16" s="597" t="s">
        <v>290</v>
      </c>
      <c r="AF16" s="420">
        <v>4</v>
      </c>
      <c r="AG16" s="597" t="s">
        <v>1045</v>
      </c>
      <c r="AH16" s="597"/>
      <c r="AI16" s="13"/>
      <c r="AJ16" s="13"/>
      <c r="AK16" s="13"/>
      <c r="AL16" s="13"/>
      <c r="AM16" s="13"/>
    </row>
    <row r="17" spans="1:39" s="13" customFormat="1">
      <c r="A17" s="242" t="s">
        <v>1089</v>
      </c>
      <c r="B17" s="607" t="s">
        <v>11256</v>
      </c>
      <c r="C17" s="608" t="s">
        <v>9988</v>
      </c>
      <c r="D17" s="420" t="s">
        <v>883</v>
      </c>
      <c r="E17" s="420" t="s">
        <v>1094</v>
      </c>
      <c r="F17" s="420" t="s">
        <v>883</v>
      </c>
      <c r="G17" s="420" t="s">
        <v>883</v>
      </c>
      <c r="H17" s="420" t="s">
        <v>883</v>
      </c>
      <c r="I17" s="420" t="s">
        <v>883</v>
      </c>
      <c r="J17" s="420" t="s">
        <v>1094</v>
      </c>
      <c r="K17" s="278">
        <f t="shared" si="0"/>
        <v>0</v>
      </c>
      <c r="L17" s="420" t="s">
        <v>1094</v>
      </c>
      <c r="M17" s="420" t="s">
        <v>1094</v>
      </c>
      <c r="N17" s="420" t="s">
        <v>1094</v>
      </c>
      <c r="O17" s="420" t="s">
        <v>1094</v>
      </c>
      <c r="P17" s="420" t="s">
        <v>1094</v>
      </c>
      <c r="Q17" s="420" t="s">
        <v>1094</v>
      </c>
      <c r="R17" s="420" t="s">
        <v>1094</v>
      </c>
      <c r="S17" s="420" t="s">
        <v>1094</v>
      </c>
      <c r="T17" s="420" t="s">
        <v>1094</v>
      </c>
      <c r="U17" s="420" t="s">
        <v>1094</v>
      </c>
      <c r="V17" s="284">
        <f t="shared" si="1"/>
        <v>47643.75</v>
      </c>
      <c r="W17" s="420"/>
      <c r="X17" s="420"/>
      <c r="Y17" s="626">
        <v>0</v>
      </c>
      <c r="Z17" s="621">
        <v>0</v>
      </c>
      <c r="AA17" s="609">
        <v>2</v>
      </c>
      <c r="AB17" s="261">
        <f t="shared" si="2"/>
        <v>4.5913682277318639E-5</v>
      </c>
      <c r="AC17" s="261">
        <f t="shared" si="3"/>
        <v>7.3461891643709823E-4</v>
      </c>
      <c r="AD17" s="609"/>
      <c r="AE17" s="597" t="s">
        <v>290</v>
      </c>
      <c r="AF17" s="420">
        <v>4</v>
      </c>
      <c r="AG17" s="612" t="s">
        <v>1045</v>
      </c>
      <c r="AH17" s="612"/>
    </row>
    <row r="18" spans="1:39" s="13" customFormat="1">
      <c r="A18" s="242" t="s">
        <v>1089</v>
      </c>
      <c r="B18" s="607" t="s">
        <v>11244</v>
      </c>
      <c r="C18" s="608" t="s">
        <v>11245</v>
      </c>
      <c r="D18" s="420" t="s">
        <v>1094</v>
      </c>
      <c r="E18" s="420" t="s">
        <v>1094</v>
      </c>
      <c r="F18" s="420" t="s">
        <v>883</v>
      </c>
      <c r="G18" s="420" t="s">
        <v>883</v>
      </c>
      <c r="H18" s="420" t="s">
        <v>883</v>
      </c>
      <c r="I18" s="420" t="s">
        <v>883</v>
      </c>
      <c r="J18" s="420" t="s">
        <v>1094</v>
      </c>
      <c r="K18" s="278">
        <f t="shared" si="0"/>
        <v>8.3865571776155709E-3</v>
      </c>
      <c r="L18" s="420" t="s">
        <v>883</v>
      </c>
      <c r="M18" s="420" t="s">
        <v>1094</v>
      </c>
      <c r="N18" s="420" t="s">
        <v>1094</v>
      </c>
      <c r="O18" s="420" t="s">
        <v>883</v>
      </c>
      <c r="P18" s="420" t="s">
        <v>883</v>
      </c>
      <c r="Q18" s="420" t="s">
        <v>883</v>
      </c>
      <c r="R18" s="420" t="s">
        <v>883</v>
      </c>
      <c r="S18" s="420" t="s">
        <v>1094</v>
      </c>
      <c r="T18" s="420" t="s">
        <v>1094</v>
      </c>
      <c r="U18" s="420" t="s">
        <v>883</v>
      </c>
      <c r="V18" s="284">
        <f t="shared" si="1"/>
        <v>231.84306569343067</v>
      </c>
      <c r="W18" s="420"/>
      <c r="X18" s="420"/>
      <c r="Y18" s="629">
        <f>Z18/16</f>
        <v>3.4468749999999999</v>
      </c>
      <c r="Z18" s="621">
        <v>55.15</v>
      </c>
      <c r="AA18" s="609">
        <v>411</v>
      </c>
      <c r="AB18" s="261">
        <f t="shared" si="2"/>
        <v>9.4352617079889803E-3</v>
      </c>
      <c r="AC18" s="261">
        <f t="shared" si="3"/>
        <v>0.15096418732782368</v>
      </c>
      <c r="AD18" s="609"/>
      <c r="AE18" s="597" t="s">
        <v>290</v>
      </c>
      <c r="AF18" s="420">
        <v>6</v>
      </c>
      <c r="AG18" s="597" t="s">
        <v>1042</v>
      </c>
      <c r="AH18" s="597" t="s">
        <v>11306</v>
      </c>
    </row>
    <row r="19" spans="1:39" s="13" customFormat="1">
      <c r="A19" s="242" t="s">
        <v>1089</v>
      </c>
      <c r="B19" s="338" t="s">
        <v>581</v>
      </c>
      <c r="C19" s="594" t="s">
        <v>568</v>
      </c>
      <c r="D19" s="420" t="s">
        <v>883</v>
      </c>
      <c r="E19" s="420" t="s">
        <v>1094</v>
      </c>
      <c r="F19" s="420" t="s">
        <v>883</v>
      </c>
      <c r="G19" s="420" t="s">
        <v>883</v>
      </c>
      <c r="H19" s="420" t="s">
        <v>883</v>
      </c>
      <c r="I19" s="420" t="s">
        <v>883</v>
      </c>
      <c r="J19" s="420" t="s">
        <v>1094</v>
      </c>
      <c r="K19" s="278">
        <f t="shared" si="0"/>
        <v>2.2058823529411766E-2</v>
      </c>
      <c r="L19" s="278" t="s">
        <v>1094</v>
      </c>
      <c r="M19" s="278" t="s">
        <v>1094</v>
      </c>
      <c r="N19" s="278" t="s">
        <v>1094</v>
      </c>
      <c r="O19" s="278" t="s">
        <v>1094</v>
      </c>
      <c r="P19" s="278" t="s">
        <v>1094</v>
      </c>
      <c r="Q19" s="278" t="s">
        <v>1094</v>
      </c>
      <c r="R19" s="278" t="s">
        <v>1094</v>
      </c>
      <c r="S19" s="278" t="s">
        <v>1094</v>
      </c>
      <c r="T19" s="278" t="s">
        <v>1094</v>
      </c>
      <c r="U19" s="278" t="s">
        <v>1094</v>
      </c>
      <c r="V19" s="284">
        <f t="shared" si="1"/>
        <v>224.20588235294116</v>
      </c>
      <c r="W19" s="605"/>
      <c r="X19" s="605"/>
      <c r="Y19" s="604">
        <f>SUM(Z19/16)</f>
        <v>9.375</v>
      </c>
      <c r="Z19" s="622">
        <v>150</v>
      </c>
      <c r="AA19" s="631">
        <v>425</v>
      </c>
      <c r="AB19" s="261">
        <f t="shared" si="2"/>
        <v>9.7566574839302121E-3</v>
      </c>
      <c r="AC19" s="261">
        <f t="shared" si="3"/>
        <v>0.15610651974288339</v>
      </c>
      <c r="AD19" s="338"/>
      <c r="AE19" s="280" t="s">
        <v>1013</v>
      </c>
      <c r="AF19" s="339">
        <v>7</v>
      </c>
      <c r="AG19" s="338" t="s">
        <v>1042</v>
      </c>
      <c r="AH19" s="280" t="s">
        <v>1017</v>
      </c>
    </row>
    <row r="20" spans="1:39" s="13" customFormat="1">
      <c r="A20" s="242" t="s">
        <v>1089</v>
      </c>
      <c r="B20" s="338" t="s">
        <v>548</v>
      </c>
      <c r="C20" s="594" t="s">
        <v>264</v>
      </c>
      <c r="D20" s="420" t="s">
        <v>883</v>
      </c>
      <c r="E20" s="420" t="s">
        <v>1094</v>
      </c>
      <c r="F20" s="420" t="s">
        <v>883</v>
      </c>
      <c r="G20" s="420" t="s">
        <v>883</v>
      </c>
      <c r="H20" s="420" t="s">
        <v>883</v>
      </c>
      <c r="I20" s="420" t="s">
        <v>883</v>
      </c>
      <c r="J20" s="420" t="s">
        <v>1094</v>
      </c>
      <c r="K20" s="278">
        <f t="shared" si="0"/>
        <v>0.01</v>
      </c>
      <c r="L20" s="278" t="s">
        <v>1094</v>
      </c>
      <c r="M20" s="278" t="s">
        <v>1094</v>
      </c>
      <c r="N20" s="278" t="s">
        <v>1094</v>
      </c>
      <c r="O20" s="278" t="s">
        <v>1094</v>
      </c>
      <c r="P20" s="278" t="s">
        <v>1094</v>
      </c>
      <c r="Q20" s="278" t="s">
        <v>1094</v>
      </c>
      <c r="R20" s="278" t="s">
        <v>1094</v>
      </c>
      <c r="S20" s="278" t="s">
        <v>1094</v>
      </c>
      <c r="T20" s="278" t="s">
        <v>1094</v>
      </c>
      <c r="U20" s="278" t="s">
        <v>1094</v>
      </c>
      <c r="V20" s="284">
        <f t="shared" si="1"/>
        <v>190.57500000000002</v>
      </c>
      <c r="W20" s="605"/>
      <c r="X20" s="605"/>
      <c r="Y20" s="604">
        <v>5</v>
      </c>
      <c r="Z20" s="622">
        <v>75</v>
      </c>
      <c r="AA20" s="631">
        <v>500</v>
      </c>
      <c r="AB20" s="261">
        <f t="shared" si="2"/>
        <v>1.1478420569329659E-2</v>
      </c>
      <c r="AC20" s="261">
        <f t="shared" si="3"/>
        <v>0.18365472910927455</v>
      </c>
      <c r="AD20" s="338"/>
      <c r="AE20" s="281" t="s">
        <v>292</v>
      </c>
      <c r="AF20" s="339">
        <v>5</v>
      </c>
      <c r="AG20" s="340" t="s">
        <v>1047</v>
      </c>
      <c r="AH20" s="593" t="s">
        <v>1010</v>
      </c>
      <c r="AI20" s="105"/>
      <c r="AJ20" s="105"/>
      <c r="AK20" s="105"/>
      <c r="AL20" s="105"/>
      <c r="AM20" s="105"/>
    </row>
    <row r="21" spans="1:39" s="13" customFormat="1">
      <c r="A21" s="242" t="s">
        <v>1089</v>
      </c>
      <c r="B21" s="338" t="s">
        <v>580</v>
      </c>
      <c r="C21" s="594" t="s">
        <v>567</v>
      </c>
      <c r="D21" s="420" t="s">
        <v>883</v>
      </c>
      <c r="E21" s="420" t="s">
        <v>1094</v>
      </c>
      <c r="F21" s="420" t="s">
        <v>1094</v>
      </c>
      <c r="G21" s="420" t="s">
        <v>883</v>
      </c>
      <c r="H21" s="420" t="s">
        <v>1094</v>
      </c>
      <c r="I21" s="420" t="s">
        <v>1094</v>
      </c>
      <c r="J21" s="420" t="s">
        <v>1094</v>
      </c>
      <c r="K21" s="278">
        <f t="shared" si="0"/>
        <v>6.8181818181818179E-3</v>
      </c>
      <c r="L21" s="278" t="s">
        <v>883</v>
      </c>
      <c r="M21" s="278" t="s">
        <v>883</v>
      </c>
      <c r="N21" s="278" t="s">
        <v>1094</v>
      </c>
      <c r="O21" s="278" t="s">
        <v>883</v>
      </c>
      <c r="P21" s="278" t="s">
        <v>1094</v>
      </c>
      <c r="Q21" s="278" t="s">
        <v>883</v>
      </c>
      <c r="R21" s="278" t="s">
        <v>883</v>
      </c>
      <c r="S21" s="278" t="s">
        <v>1094</v>
      </c>
      <c r="T21" s="278" t="s">
        <v>883</v>
      </c>
      <c r="U21" s="278" t="s">
        <v>883</v>
      </c>
      <c r="V21" s="284">
        <f t="shared" si="1"/>
        <v>346.5</v>
      </c>
      <c r="W21" s="605"/>
      <c r="X21" s="605"/>
      <c r="Y21" s="604">
        <f>SUM(Z21/16)</f>
        <v>1.875</v>
      </c>
      <c r="Z21" s="622">
        <v>30</v>
      </c>
      <c r="AA21" s="631">
        <v>275</v>
      </c>
      <c r="AB21" s="261">
        <f t="shared" si="2"/>
        <v>6.313131313131313E-3</v>
      </c>
      <c r="AC21" s="261">
        <f t="shared" si="3"/>
        <v>0.10101010101010101</v>
      </c>
      <c r="AD21" s="338"/>
      <c r="AE21" s="593" t="s">
        <v>294</v>
      </c>
      <c r="AF21" s="339">
        <v>2</v>
      </c>
      <c r="AG21" s="338" t="s">
        <v>1048</v>
      </c>
      <c r="AH21" s="280" t="s">
        <v>1010</v>
      </c>
    </row>
    <row r="22" spans="1:39" s="13" customFormat="1">
      <c r="A22" s="242" t="s">
        <v>1089</v>
      </c>
      <c r="B22" s="338" t="s">
        <v>574</v>
      </c>
      <c r="C22" s="594" t="s">
        <v>561</v>
      </c>
      <c r="D22" s="420" t="s">
        <v>1094</v>
      </c>
      <c r="E22" s="420" t="s">
        <v>1094</v>
      </c>
      <c r="F22" s="420" t="s">
        <v>1094</v>
      </c>
      <c r="G22" s="420" t="s">
        <v>1094</v>
      </c>
      <c r="H22" s="420" t="s">
        <v>1094</v>
      </c>
      <c r="I22" s="420" t="s">
        <v>1094</v>
      </c>
      <c r="J22" s="420" t="s">
        <v>1094</v>
      </c>
      <c r="K22" s="278">
        <f t="shared" si="0"/>
        <v>0.28046874999999999</v>
      </c>
      <c r="L22" s="278" t="s">
        <v>1094</v>
      </c>
      <c r="M22" s="278" t="s">
        <v>1094</v>
      </c>
      <c r="N22" s="278" t="s">
        <v>1094</v>
      </c>
      <c r="O22" s="278" t="s">
        <v>1094</v>
      </c>
      <c r="P22" s="278" t="s">
        <v>1094</v>
      </c>
      <c r="Q22" s="278" t="s">
        <v>1094</v>
      </c>
      <c r="R22" s="278" t="s">
        <v>1094</v>
      </c>
      <c r="S22" s="278" t="s">
        <v>1094</v>
      </c>
      <c r="T22" s="278" t="s">
        <v>1094</v>
      </c>
      <c r="U22" s="278" t="s">
        <v>1094</v>
      </c>
      <c r="V22" s="284">
        <f t="shared" si="1"/>
        <v>23821.875</v>
      </c>
      <c r="W22" s="605"/>
      <c r="X22" s="605"/>
      <c r="Y22" s="604">
        <f>SUM(Z22/16)</f>
        <v>1.121875</v>
      </c>
      <c r="Z22" s="622">
        <v>17.95</v>
      </c>
      <c r="AA22" s="631">
        <v>4</v>
      </c>
      <c r="AB22" s="261">
        <f t="shared" si="2"/>
        <v>9.1827364554637278E-5</v>
      </c>
      <c r="AC22" s="261">
        <f t="shared" si="3"/>
        <v>1.4692378328741965E-3</v>
      </c>
      <c r="AD22" s="338"/>
      <c r="AE22" s="593" t="s">
        <v>292</v>
      </c>
      <c r="AF22" s="339">
        <v>4</v>
      </c>
      <c r="AG22" s="338" t="s">
        <v>1045</v>
      </c>
      <c r="AH22" s="280" t="s">
        <v>1018</v>
      </c>
    </row>
    <row r="23" spans="1:39" s="13" customFormat="1">
      <c r="A23" s="242" t="s">
        <v>1089</v>
      </c>
      <c r="B23" s="607" t="s">
        <v>11257</v>
      </c>
      <c r="C23" s="608" t="s">
        <v>9985</v>
      </c>
      <c r="D23" s="420" t="s">
        <v>1094</v>
      </c>
      <c r="E23" s="420" t="s">
        <v>1094</v>
      </c>
      <c r="F23" s="420" t="s">
        <v>883</v>
      </c>
      <c r="G23" s="420" t="s">
        <v>883</v>
      </c>
      <c r="H23" s="420" t="s">
        <v>883</v>
      </c>
      <c r="I23" s="420" t="s">
        <v>883</v>
      </c>
      <c r="J23" s="420" t="s">
        <v>1094</v>
      </c>
      <c r="K23" s="278">
        <f t="shared" si="0"/>
        <v>0.56093749999999998</v>
      </c>
      <c r="L23" s="420" t="s">
        <v>883</v>
      </c>
      <c r="M23" s="420" t="s">
        <v>883</v>
      </c>
      <c r="N23" s="420" t="s">
        <v>1094</v>
      </c>
      <c r="O23" s="420" t="s">
        <v>1094</v>
      </c>
      <c r="P23" s="420" t="s">
        <v>1094</v>
      </c>
      <c r="Q23" s="420" t="s">
        <v>883</v>
      </c>
      <c r="R23" s="420" t="s">
        <v>883</v>
      </c>
      <c r="S23" s="420" t="s">
        <v>1094</v>
      </c>
      <c r="T23" s="420" t="s">
        <v>1094</v>
      </c>
      <c r="U23" s="420" t="s">
        <v>883</v>
      </c>
      <c r="V23" s="284">
        <f t="shared" si="1"/>
        <v>47643.75</v>
      </c>
      <c r="W23" s="420"/>
      <c r="X23" s="420"/>
      <c r="Y23" s="626">
        <f>Z23/16</f>
        <v>1.121875</v>
      </c>
      <c r="Z23" s="621">
        <v>17.95</v>
      </c>
      <c r="AA23" s="609">
        <v>2</v>
      </c>
      <c r="AB23" s="261">
        <f t="shared" si="2"/>
        <v>4.5913682277318639E-5</v>
      </c>
      <c r="AC23" s="261">
        <f t="shared" si="3"/>
        <v>7.3461891643709823E-4</v>
      </c>
      <c r="AD23" s="609"/>
      <c r="AE23" s="597" t="s">
        <v>292</v>
      </c>
      <c r="AF23" s="420">
        <v>6</v>
      </c>
      <c r="AG23" s="597" t="s">
        <v>1045</v>
      </c>
      <c r="AH23" s="597"/>
    </row>
    <row r="24" spans="1:39" s="13" customFormat="1">
      <c r="A24" s="242" t="s">
        <v>1089</v>
      </c>
      <c r="B24" s="338" t="s">
        <v>845</v>
      </c>
      <c r="C24" s="594" t="s">
        <v>832</v>
      </c>
      <c r="D24" s="420" t="s">
        <v>883</v>
      </c>
      <c r="E24" s="420" t="s">
        <v>883</v>
      </c>
      <c r="F24" s="420" t="s">
        <v>1094</v>
      </c>
      <c r="G24" s="420" t="s">
        <v>1094</v>
      </c>
      <c r="H24" s="420" t="s">
        <v>1094</v>
      </c>
      <c r="I24" s="420" t="s">
        <v>1094</v>
      </c>
      <c r="J24" s="420" t="s">
        <v>1094</v>
      </c>
      <c r="K24" s="278">
        <f t="shared" si="0"/>
        <v>1.25E-3</v>
      </c>
      <c r="L24" s="278" t="s">
        <v>883</v>
      </c>
      <c r="M24" s="278" t="s">
        <v>1094</v>
      </c>
      <c r="N24" s="278" t="s">
        <v>1094</v>
      </c>
      <c r="O24" s="278" t="s">
        <v>883</v>
      </c>
      <c r="P24" s="278" t="s">
        <v>1094</v>
      </c>
      <c r="Q24" s="278" t="s">
        <v>883</v>
      </c>
      <c r="R24" s="278" t="s">
        <v>1094</v>
      </c>
      <c r="S24" s="278" t="s">
        <v>1094</v>
      </c>
      <c r="T24" s="278" t="s">
        <v>883</v>
      </c>
      <c r="U24" s="278" t="s">
        <v>883</v>
      </c>
      <c r="V24" s="284">
        <f t="shared" si="1"/>
        <v>15.88125</v>
      </c>
      <c r="W24" s="605"/>
      <c r="X24" s="605"/>
      <c r="Y24" s="604">
        <f>SUM(Z24/16)</f>
        <v>7.5</v>
      </c>
      <c r="Z24" s="622">
        <v>120</v>
      </c>
      <c r="AA24" s="631">
        <v>6000</v>
      </c>
      <c r="AB24" s="261">
        <f t="shared" si="2"/>
        <v>0.13774104683195593</v>
      </c>
      <c r="AC24" s="261">
        <f t="shared" si="3"/>
        <v>2.2038567493112948</v>
      </c>
      <c r="AD24" s="338"/>
      <c r="AE24" s="593" t="s">
        <v>863</v>
      </c>
      <c r="AF24" s="339">
        <v>6</v>
      </c>
      <c r="AG24" s="338" t="s">
        <v>1042</v>
      </c>
      <c r="AH24" s="280" t="s">
        <v>1019</v>
      </c>
    </row>
    <row r="25" spans="1:39" s="13" customFormat="1">
      <c r="A25" s="242" t="s">
        <v>1089</v>
      </c>
      <c r="B25" s="607" t="s">
        <v>11258</v>
      </c>
      <c r="C25" s="608" t="s">
        <v>11265</v>
      </c>
      <c r="D25" s="420" t="s">
        <v>1094</v>
      </c>
      <c r="E25" s="420" t="s">
        <v>1094</v>
      </c>
      <c r="F25" s="420" t="s">
        <v>883</v>
      </c>
      <c r="G25" s="420" t="s">
        <v>883</v>
      </c>
      <c r="H25" s="420" t="s">
        <v>1094</v>
      </c>
      <c r="I25" s="420" t="s">
        <v>883</v>
      </c>
      <c r="J25" s="420" t="s">
        <v>1094</v>
      </c>
      <c r="K25" s="278">
        <f t="shared" si="0"/>
        <v>0</v>
      </c>
      <c r="L25" s="420" t="s">
        <v>883</v>
      </c>
      <c r="M25" s="420" t="s">
        <v>883</v>
      </c>
      <c r="N25" s="420" t="s">
        <v>1094</v>
      </c>
      <c r="O25" s="420" t="s">
        <v>883</v>
      </c>
      <c r="P25" s="420" t="s">
        <v>1094</v>
      </c>
      <c r="Q25" s="420" t="s">
        <v>883</v>
      </c>
      <c r="R25" s="420" t="s">
        <v>1094</v>
      </c>
      <c r="S25" s="420" t="s">
        <v>1094</v>
      </c>
      <c r="T25" s="420" t="s">
        <v>1094</v>
      </c>
      <c r="U25" s="420" t="s">
        <v>883</v>
      </c>
      <c r="V25" s="284">
        <f t="shared" si="1"/>
        <v>3811.5</v>
      </c>
      <c r="W25" s="420"/>
      <c r="X25" s="420"/>
      <c r="Y25" s="626">
        <v>0</v>
      </c>
      <c r="Z25" s="621">
        <v>0</v>
      </c>
      <c r="AA25" s="609">
        <v>25</v>
      </c>
      <c r="AB25" s="261">
        <f t="shared" si="2"/>
        <v>5.7392102846648299E-4</v>
      </c>
      <c r="AC25" s="261">
        <f t="shared" si="3"/>
        <v>9.1827364554637279E-3</v>
      </c>
      <c r="AD25" s="609"/>
      <c r="AE25" s="597" t="s">
        <v>290</v>
      </c>
      <c r="AF25" s="420">
        <v>7</v>
      </c>
      <c r="AG25" s="597" t="s">
        <v>1045</v>
      </c>
      <c r="AH25" s="597"/>
      <c r="AI25" s="104"/>
      <c r="AM25" s="104"/>
    </row>
    <row r="26" spans="1:39" s="13" customFormat="1">
      <c r="A26" s="242" t="s">
        <v>1089</v>
      </c>
      <c r="B26" s="607" t="s">
        <v>11246</v>
      </c>
      <c r="C26" s="608" t="s">
        <v>10230</v>
      </c>
      <c r="D26" s="420" t="s">
        <v>883</v>
      </c>
      <c r="E26" s="420" t="s">
        <v>1094</v>
      </c>
      <c r="F26" s="420" t="s">
        <v>883</v>
      </c>
      <c r="G26" s="420" t="s">
        <v>883</v>
      </c>
      <c r="H26" s="420" t="s">
        <v>1094</v>
      </c>
      <c r="I26" s="420" t="s">
        <v>883</v>
      </c>
      <c r="J26" s="420" t="s">
        <v>1094</v>
      </c>
      <c r="K26" s="278">
        <f t="shared" si="0"/>
        <v>7.9577464788732379E-3</v>
      </c>
      <c r="L26" s="420" t="s">
        <v>1094</v>
      </c>
      <c r="M26" s="420" t="s">
        <v>1094</v>
      </c>
      <c r="N26" s="420" t="s">
        <v>1094</v>
      </c>
      <c r="O26" s="420" t="s">
        <v>1094</v>
      </c>
      <c r="P26" s="420" t="s">
        <v>1094</v>
      </c>
      <c r="Q26" s="420" t="s">
        <v>1094</v>
      </c>
      <c r="R26" s="420" t="s">
        <v>1094</v>
      </c>
      <c r="S26" s="420" t="s">
        <v>1094</v>
      </c>
      <c r="T26" s="420" t="s">
        <v>1094</v>
      </c>
      <c r="U26" s="420" t="s">
        <v>1094</v>
      </c>
      <c r="V26" s="284">
        <f t="shared" si="1"/>
        <v>335.5193661971831</v>
      </c>
      <c r="W26" s="420"/>
      <c r="X26" s="420"/>
      <c r="Y26" s="626">
        <f>Z26/16</f>
        <v>2.2599999999999998</v>
      </c>
      <c r="Z26" s="621">
        <v>36.159999999999997</v>
      </c>
      <c r="AA26" s="609">
        <v>284</v>
      </c>
      <c r="AB26" s="261">
        <f t="shared" si="2"/>
        <v>6.5197428833792467E-3</v>
      </c>
      <c r="AC26" s="261">
        <f t="shared" si="3"/>
        <v>0.10431588613406795</v>
      </c>
      <c r="AD26" s="609"/>
      <c r="AE26" s="597" t="s">
        <v>290</v>
      </c>
      <c r="AF26" s="420">
        <v>2</v>
      </c>
      <c r="AG26" s="597" t="s">
        <v>1042</v>
      </c>
      <c r="AH26" s="597"/>
    </row>
    <row r="27" spans="1:39" s="217" customFormat="1">
      <c r="A27" s="242" t="s">
        <v>1089</v>
      </c>
      <c r="B27" s="338" t="s">
        <v>572</v>
      </c>
      <c r="C27" s="594" t="s">
        <v>559</v>
      </c>
      <c r="D27" s="420" t="s">
        <v>1094</v>
      </c>
      <c r="E27" s="420" t="s">
        <v>1094</v>
      </c>
      <c r="F27" s="420" t="s">
        <v>883</v>
      </c>
      <c r="G27" s="420" t="s">
        <v>883</v>
      </c>
      <c r="H27" s="420" t="s">
        <v>1094</v>
      </c>
      <c r="I27" s="420" t="s">
        <v>883</v>
      </c>
      <c r="J27" s="420" t="s">
        <v>1094</v>
      </c>
      <c r="K27" s="278">
        <f t="shared" si="0"/>
        <v>8.3333333333333332E-3</v>
      </c>
      <c r="L27" s="278" t="s">
        <v>883</v>
      </c>
      <c r="M27" s="278" t="s">
        <v>883</v>
      </c>
      <c r="N27" s="278" t="s">
        <v>1094</v>
      </c>
      <c r="O27" s="278" t="s">
        <v>1094</v>
      </c>
      <c r="P27" s="278" t="s">
        <v>1094</v>
      </c>
      <c r="Q27" s="278" t="s">
        <v>883</v>
      </c>
      <c r="R27" s="278" t="s">
        <v>883</v>
      </c>
      <c r="S27" s="278" t="s">
        <v>1094</v>
      </c>
      <c r="T27" s="278" t="s">
        <v>883</v>
      </c>
      <c r="U27" s="278" t="s">
        <v>883</v>
      </c>
      <c r="V27" s="284">
        <f t="shared" si="1"/>
        <v>158.8125</v>
      </c>
      <c r="W27" s="605"/>
      <c r="X27" s="605"/>
      <c r="Y27" s="604">
        <f>SUM(Z27/16)</f>
        <v>5</v>
      </c>
      <c r="Z27" s="622">
        <v>80</v>
      </c>
      <c r="AA27" s="631">
        <v>600</v>
      </c>
      <c r="AB27" s="261">
        <f t="shared" si="2"/>
        <v>1.3774104683195593E-2</v>
      </c>
      <c r="AC27" s="261">
        <f t="shared" si="3"/>
        <v>0.22038567493112948</v>
      </c>
      <c r="AD27" s="338"/>
      <c r="AE27" s="593" t="s">
        <v>292</v>
      </c>
      <c r="AF27" s="339">
        <v>3</v>
      </c>
      <c r="AG27" s="338" t="s">
        <v>1042</v>
      </c>
      <c r="AH27" s="280" t="s">
        <v>1020</v>
      </c>
      <c r="AI27" s="13"/>
      <c r="AJ27" s="13"/>
      <c r="AK27" s="13"/>
      <c r="AL27" s="13"/>
      <c r="AM27" s="13"/>
    </row>
    <row r="28" spans="1:39" s="13" customFormat="1">
      <c r="A28" s="242" t="s">
        <v>1089</v>
      </c>
      <c r="B28" s="338" t="s">
        <v>556</v>
      </c>
      <c r="C28" s="594" t="s">
        <v>837</v>
      </c>
      <c r="D28" s="420" t="s">
        <v>883</v>
      </c>
      <c r="E28" s="420" t="s">
        <v>1094</v>
      </c>
      <c r="F28" s="420" t="s">
        <v>883</v>
      </c>
      <c r="G28" s="420" t="s">
        <v>883</v>
      </c>
      <c r="H28" s="420" t="s">
        <v>883</v>
      </c>
      <c r="I28" s="420" t="s">
        <v>883</v>
      </c>
      <c r="J28" s="420" t="s">
        <v>1094</v>
      </c>
      <c r="K28" s="278">
        <f t="shared" si="0"/>
        <v>8.8028169014084511E-3</v>
      </c>
      <c r="L28" s="278" t="s">
        <v>883</v>
      </c>
      <c r="M28" s="278" t="s">
        <v>883</v>
      </c>
      <c r="N28" s="278" t="s">
        <v>1094</v>
      </c>
      <c r="O28" s="278" t="s">
        <v>883</v>
      </c>
      <c r="P28" s="278" t="s">
        <v>1094</v>
      </c>
      <c r="Q28" s="278" t="s">
        <v>883</v>
      </c>
      <c r="R28" s="278" t="s">
        <v>883</v>
      </c>
      <c r="S28" s="278" t="s">
        <v>1094</v>
      </c>
      <c r="T28" s="278" t="s">
        <v>883</v>
      </c>
      <c r="U28" s="278" t="s">
        <v>883</v>
      </c>
      <c r="V28" s="284">
        <f t="shared" si="1"/>
        <v>167.75968309859155</v>
      </c>
      <c r="W28" s="605"/>
      <c r="X28" s="605"/>
      <c r="Y28" s="604">
        <f>SUM(Z28/16)</f>
        <v>5</v>
      </c>
      <c r="Z28" s="622">
        <v>80</v>
      </c>
      <c r="AA28" s="631">
        <v>568</v>
      </c>
      <c r="AB28" s="261">
        <f t="shared" si="2"/>
        <v>1.3039485766758493E-2</v>
      </c>
      <c r="AC28" s="261">
        <f t="shared" si="3"/>
        <v>0.2086317722681359</v>
      </c>
      <c r="AD28" s="338"/>
      <c r="AE28" s="593" t="s">
        <v>293</v>
      </c>
      <c r="AF28" s="339">
        <v>10</v>
      </c>
      <c r="AG28" s="338" t="s">
        <v>1042</v>
      </c>
      <c r="AH28" s="280" t="s">
        <v>1016</v>
      </c>
    </row>
    <row r="29" spans="1:39" s="13" customFormat="1">
      <c r="A29" s="242" t="s">
        <v>1089</v>
      </c>
      <c r="B29" s="338" t="s">
        <v>549</v>
      </c>
      <c r="C29" s="594" t="s">
        <v>265</v>
      </c>
      <c r="D29" s="420" t="s">
        <v>1094</v>
      </c>
      <c r="E29" s="420" t="s">
        <v>1094</v>
      </c>
      <c r="F29" s="420" t="s">
        <v>883</v>
      </c>
      <c r="G29" s="420" t="s">
        <v>1094</v>
      </c>
      <c r="H29" s="420" t="s">
        <v>1094</v>
      </c>
      <c r="I29" s="420" t="s">
        <v>883</v>
      </c>
      <c r="J29" s="420" t="s">
        <v>883</v>
      </c>
      <c r="K29" s="278">
        <f t="shared" si="0"/>
        <v>4.464285714285714E-3</v>
      </c>
      <c r="L29" s="278" t="s">
        <v>883</v>
      </c>
      <c r="M29" s="278" t="s">
        <v>883</v>
      </c>
      <c r="N29" s="278" t="s">
        <v>883</v>
      </c>
      <c r="O29" s="278" t="s">
        <v>1094</v>
      </c>
      <c r="P29" s="278" t="s">
        <v>1094</v>
      </c>
      <c r="Q29" s="278" t="s">
        <v>1094</v>
      </c>
      <c r="R29" s="278" t="s">
        <v>1094</v>
      </c>
      <c r="S29" s="278" t="s">
        <v>1094</v>
      </c>
      <c r="T29" s="278" t="s">
        <v>1094</v>
      </c>
      <c r="U29" s="278" t="s">
        <v>883</v>
      </c>
      <c r="V29" s="284">
        <f t="shared" si="1"/>
        <v>17.015625</v>
      </c>
      <c r="W29" s="605"/>
      <c r="X29" s="605"/>
      <c r="Y29" s="604">
        <f>SUM(Z29/16)</f>
        <v>25</v>
      </c>
      <c r="Z29" s="622">
        <v>400</v>
      </c>
      <c r="AA29" s="631">
        <v>5600</v>
      </c>
      <c r="AB29" s="261">
        <f t="shared" si="2"/>
        <v>0.12855831037649221</v>
      </c>
      <c r="AC29" s="261">
        <f t="shared" si="3"/>
        <v>2.0569329660238753</v>
      </c>
      <c r="AD29" s="338"/>
      <c r="AE29" s="281" t="s">
        <v>863</v>
      </c>
      <c r="AF29" s="339">
        <v>0</v>
      </c>
      <c r="AG29" s="340" t="s">
        <v>1042</v>
      </c>
      <c r="AH29" s="280" t="s">
        <v>15</v>
      </c>
    </row>
    <row r="30" spans="1:39" s="105" customFormat="1">
      <c r="A30" s="242" t="s">
        <v>1089</v>
      </c>
      <c r="B30" s="607" t="s">
        <v>11259</v>
      </c>
      <c r="C30" s="608" t="s">
        <v>10144</v>
      </c>
      <c r="D30" s="420" t="s">
        <v>883</v>
      </c>
      <c r="E30" s="420" t="s">
        <v>1094</v>
      </c>
      <c r="F30" s="420" t="s">
        <v>1094</v>
      </c>
      <c r="G30" s="420" t="s">
        <v>883</v>
      </c>
      <c r="H30" s="420" t="s">
        <v>1094</v>
      </c>
      <c r="I30" s="420" t="s">
        <v>1094</v>
      </c>
      <c r="J30" s="420" t="s">
        <v>1094</v>
      </c>
      <c r="K30" s="278">
        <f t="shared" si="0"/>
        <v>0</v>
      </c>
      <c r="L30" s="420" t="s">
        <v>1094</v>
      </c>
      <c r="M30" s="420" t="s">
        <v>1094</v>
      </c>
      <c r="N30" s="420" t="s">
        <v>1094</v>
      </c>
      <c r="O30" s="420" t="s">
        <v>1094</v>
      </c>
      <c r="P30" s="420" t="s">
        <v>1094</v>
      </c>
      <c r="Q30" s="420" t="s">
        <v>1094</v>
      </c>
      <c r="R30" s="420" t="s">
        <v>1094</v>
      </c>
      <c r="S30" s="420" t="s">
        <v>1094</v>
      </c>
      <c r="T30" s="420" t="s">
        <v>1094</v>
      </c>
      <c r="U30" s="420" t="s">
        <v>1094</v>
      </c>
      <c r="V30" s="284">
        <f t="shared" si="1"/>
        <v>3.587226593381772</v>
      </c>
      <c r="W30" s="420"/>
      <c r="X30" s="420"/>
      <c r="Y30" s="626">
        <v>0</v>
      </c>
      <c r="Z30" s="621">
        <v>0</v>
      </c>
      <c r="AA30" s="609">
        <v>26563</v>
      </c>
      <c r="AB30" s="261">
        <f t="shared" si="2"/>
        <v>0.60980257116620751</v>
      </c>
      <c r="AC30" s="261">
        <f t="shared" si="3"/>
        <v>9.7568411386593201</v>
      </c>
      <c r="AD30" s="609"/>
      <c r="AE30" s="597" t="s">
        <v>290</v>
      </c>
      <c r="AF30" s="420">
        <v>1</v>
      </c>
      <c r="AG30" s="597" t="s">
        <v>1045</v>
      </c>
      <c r="AH30" s="597"/>
      <c r="AI30" s="104"/>
      <c r="AJ30" s="13"/>
      <c r="AK30" s="13"/>
      <c r="AL30" s="13"/>
      <c r="AM30" s="104"/>
    </row>
    <row r="31" spans="1:39" s="13" customFormat="1">
      <c r="A31" s="242" t="s">
        <v>1089</v>
      </c>
      <c r="B31" s="297" t="s">
        <v>1286</v>
      </c>
      <c r="C31" s="594" t="s">
        <v>261</v>
      </c>
      <c r="D31" s="420" t="s">
        <v>1094</v>
      </c>
      <c r="E31" s="420" t="s">
        <v>883</v>
      </c>
      <c r="F31" s="420" t="s">
        <v>883</v>
      </c>
      <c r="G31" s="420" t="s">
        <v>1094</v>
      </c>
      <c r="H31" s="420" t="s">
        <v>1094</v>
      </c>
      <c r="I31" s="420" t="s">
        <v>883</v>
      </c>
      <c r="J31" s="420" t="s">
        <v>883</v>
      </c>
      <c r="K31" s="278">
        <f t="shared" si="0"/>
        <v>2.8571428571428571E-2</v>
      </c>
      <c r="L31" s="278" t="s">
        <v>883</v>
      </c>
      <c r="M31" s="278" t="s">
        <v>1094</v>
      </c>
      <c r="N31" s="278" t="s">
        <v>1094</v>
      </c>
      <c r="O31" s="278" t="s">
        <v>883</v>
      </c>
      <c r="P31" s="278" t="s">
        <v>1094</v>
      </c>
      <c r="Q31" s="278" t="s">
        <v>883</v>
      </c>
      <c r="R31" s="278" t="s">
        <v>1094</v>
      </c>
      <c r="S31" s="278" t="s">
        <v>1094</v>
      </c>
      <c r="T31" s="278" t="s">
        <v>1094</v>
      </c>
      <c r="U31" s="278" t="s">
        <v>883</v>
      </c>
      <c r="V31" s="284">
        <f t="shared" si="1"/>
        <v>68.0625</v>
      </c>
      <c r="W31" s="605"/>
      <c r="X31" s="605"/>
      <c r="Y31" s="604">
        <f>SUM(Z31/16)</f>
        <v>40</v>
      </c>
      <c r="Z31" s="622">
        <v>640</v>
      </c>
      <c r="AA31" s="631">
        <v>1400</v>
      </c>
      <c r="AB31" s="261">
        <f t="shared" si="2"/>
        <v>3.2139577594123052E-2</v>
      </c>
      <c r="AC31" s="261">
        <f t="shared" si="3"/>
        <v>0.51423324150596883</v>
      </c>
      <c r="AD31" s="338"/>
      <c r="AE31" s="281" t="s">
        <v>863</v>
      </c>
      <c r="AF31" s="339">
        <v>8</v>
      </c>
      <c r="AG31" s="340" t="s">
        <v>1044</v>
      </c>
      <c r="AH31" s="280" t="s">
        <v>15</v>
      </c>
    </row>
    <row r="32" spans="1:39" s="13" customFormat="1">
      <c r="A32" s="242" t="s">
        <v>1089</v>
      </c>
      <c r="B32" s="338" t="s">
        <v>840</v>
      </c>
      <c r="C32" s="594" t="s">
        <v>828</v>
      </c>
      <c r="D32" s="420" t="s">
        <v>883</v>
      </c>
      <c r="E32" s="420" t="s">
        <v>1094</v>
      </c>
      <c r="F32" s="420" t="s">
        <v>883</v>
      </c>
      <c r="G32" s="420" t="s">
        <v>883</v>
      </c>
      <c r="H32" s="420" t="s">
        <v>1094</v>
      </c>
      <c r="I32" s="420" t="s">
        <v>883</v>
      </c>
      <c r="J32" s="420" t="s">
        <v>1094</v>
      </c>
      <c r="K32" s="278">
        <f t="shared" si="0"/>
        <v>7.4958700440528638E-3</v>
      </c>
      <c r="L32" s="278" t="s">
        <v>883</v>
      </c>
      <c r="M32" s="278" t="s">
        <v>1094</v>
      </c>
      <c r="N32" s="278" t="s">
        <v>883</v>
      </c>
      <c r="O32" s="278" t="s">
        <v>1094</v>
      </c>
      <c r="P32" s="278" t="s">
        <v>1094</v>
      </c>
      <c r="Q32" s="278" t="s">
        <v>883</v>
      </c>
      <c r="R32" s="278" t="s">
        <v>1094</v>
      </c>
      <c r="S32" s="278" t="s">
        <v>1094</v>
      </c>
      <c r="T32" s="278" t="s">
        <v>1094</v>
      </c>
      <c r="U32" s="278" t="s">
        <v>1094</v>
      </c>
      <c r="V32" s="284">
        <f t="shared" si="1"/>
        <v>209.88436123348018</v>
      </c>
      <c r="W32" s="605"/>
      <c r="X32" s="605"/>
      <c r="Y32" s="604">
        <f>SUM(Z32/16)</f>
        <v>3.4031250000000002</v>
      </c>
      <c r="Z32" s="622">
        <v>54.45</v>
      </c>
      <c r="AA32" s="631">
        <v>454</v>
      </c>
      <c r="AB32" s="261">
        <f t="shared" si="2"/>
        <v>1.0422405876951332E-2</v>
      </c>
      <c r="AC32" s="261">
        <f t="shared" si="3"/>
        <v>0.16675849403122131</v>
      </c>
      <c r="AD32" s="338"/>
      <c r="AE32" s="593" t="s">
        <v>290</v>
      </c>
      <c r="AF32" s="339">
        <v>8</v>
      </c>
      <c r="AG32" s="338" t="s">
        <v>1045</v>
      </c>
      <c r="AH32" s="280" t="s">
        <v>1016</v>
      </c>
    </row>
    <row r="33" spans="1:39" s="13" customFormat="1">
      <c r="A33" s="242" t="s">
        <v>1089</v>
      </c>
      <c r="B33" s="338" t="s">
        <v>576</v>
      </c>
      <c r="C33" s="594" t="s">
        <v>563</v>
      </c>
      <c r="D33" s="420" t="s">
        <v>1094</v>
      </c>
      <c r="E33" s="420" t="s">
        <v>1094</v>
      </c>
      <c r="F33" s="420" t="s">
        <v>883</v>
      </c>
      <c r="G33" s="420" t="s">
        <v>1094</v>
      </c>
      <c r="H33" s="420" t="s">
        <v>1094</v>
      </c>
      <c r="I33" s="420" t="s">
        <v>883</v>
      </c>
      <c r="J33" s="420" t="s">
        <v>1094</v>
      </c>
      <c r="K33" s="278">
        <f t="shared" si="0"/>
        <v>4.3269230769230772E-3</v>
      </c>
      <c r="L33" s="278" t="s">
        <v>1094</v>
      </c>
      <c r="M33" s="278" t="s">
        <v>1094</v>
      </c>
      <c r="N33" s="278" t="s">
        <v>1094</v>
      </c>
      <c r="O33" s="278" t="s">
        <v>1094</v>
      </c>
      <c r="P33" s="278" t="s">
        <v>1094</v>
      </c>
      <c r="Q33" s="278" t="s">
        <v>1094</v>
      </c>
      <c r="R33" s="278" t="s">
        <v>1094</v>
      </c>
      <c r="S33" s="278" t="s">
        <v>1094</v>
      </c>
      <c r="T33" s="278" t="s">
        <v>1094</v>
      </c>
      <c r="U33" s="278" t="s">
        <v>1094</v>
      </c>
      <c r="V33" s="284">
        <f t="shared" si="1"/>
        <v>36.64903846153846</v>
      </c>
      <c r="W33" s="605"/>
      <c r="X33" s="605"/>
      <c r="Y33" s="604">
        <f>SUM(Z33/16)</f>
        <v>11.25</v>
      </c>
      <c r="Z33" s="622">
        <v>180</v>
      </c>
      <c r="AA33" s="631">
        <v>2600</v>
      </c>
      <c r="AB33" s="261">
        <f t="shared" si="2"/>
        <v>5.968778696051423E-2</v>
      </c>
      <c r="AC33" s="261">
        <f t="shared" si="3"/>
        <v>0.95500459136822768</v>
      </c>
      <c r="AD33" s="338"/>
      <c r="AE33" s="593" t="s">
        <v>863</v>
      </c>
      <c r="AF33" s="339">
        <v>4</v>
      </c>
      <c r="AG33" s="338" t="s">
        <v>1043</v>
      </c>
      <c r="AH33" s="280" t="s">
        <v>1021</v>
      </c>
    </row>
    <row r="34" spans="1:39" s="105" customFormat="1">
      <c r="A34" s="242" t="s">
        <v>1089</v>
      </c>
      <c r="B34" s="338" t="s">
        <v>842</v>
      </c>
      <c r="C34" s="594" t="s">
        <v>830</v>
      </c>
      <c r="D34" s="420" t="s">
        <v>883</v>
      </c>
      <c r="E34" s="420" t="s">
        <v>883</v>
      </c>
      <c r="F34" s="420" t="s">
        <v>1094</v>
      </c>
      <c r="G34" s="420" t="s">
        <v>883</v>
      </c>
      <c r="H34" s="420" t="s">
        <v>883</v>
      </c>
      <c r="I34" s="420" t="s">
        <v>1094</v>
      </c>
      <c r="J34" s="420" t="s">
        <v>883</v>
      </c>
      <c r="K34" s="278">
        <f t="shared" si="0"/>
        <v>1.0810810810810811E-2</v>
      </c>
      <c r="L34" s="278" t="s">
        <v>1094</v>
      </c>
      <c r="M34" s="278" t="s">
        <v>1094</v>
      </c>
      <c r="N34" s="278" t="s">
        <v>1094</v>
      </c>
      <c r="O34" s="278" t="s">
        <v>1094</v>
      </c>
      <c r="P34" s="278" t="s">
        <v>1094</v>
      </c>
      <c r="Q34" s="278" t="s">
        <v>1094</v>
      </c>
      <c r="R34" s="278" t="s">
        <v>1094</v>
      </c>
      <c r="S34" s="278" t="s">
        <v>1094</v>
      </c>
      <c r="T34" s="278" t="s">
        <v>1094</v>
      </c>
      <c r="U34" s="278" t="s">
        <v>1094</v>
      </c>
      <c r="V34" s="284">
        <f t="shared" si="1"/>
        <v>25.753378378378379</v>
      </c>
      <c r="W34" s="605"/>
      <c r="X34" s="605"/>
      <c r="Y34" s="604">
        <v>40</v>
      </c>
      <c r="Z34" s="622">
        <v>640</v>
      </c>
      <c r="AA34" s="631">
        <v>3700</v>
      </c>
      <c r="AB34" s="261">
        <f t="shared" si="2"/>
        <v>8.4940312213039479E-2</v>
      </c>
      <c r="AC34" s="261">
        <f t="shared" si="3"/>
        <v>1.3590449954086317</v>
      </c>
      <c r="AD34" s="338"/>
      <c r="AE34" s="593" t="s">
        <v>863</v>
      </c>
      <c r="AF34" s="339">
        <v>5</v>
      </c>
      <c r="AG34" s="338" t="s">
        <v>1046</v>
      </c>
      <c r="AH34" s="280" t="s">
        <v>1022</v>
      </c>
      <c r="AI34" s="13"/>
      <c r="AJ34" s="13"/>
      <c r="AK34" s="13"/>
      <c r="AL34" s="13"/>
      <c r="AM34" s="13"/>
    </row>
    <row r="35" spans="1:39" s="13" customFormat="1">
      <c r="A35" s="242" t="s">
        <v>1089</v>
      </c>
      <c r="B35" s="338" t="s">
        <v>547</v>
      </c>
      <c r="C35" s="594" t="s">
        <v>263</v>
      </c>
      <c r="D35" s="420" t="s">
        <v>1094</v>
      </c>
      <c r="E35" s="420" t="s">
        <v>883</v>
      </c>
      <c r="F35" s="420" t="s">
        <v>883</v>
      </c>
      <c r="G35" s="420" t="s">
        <v>1094</v>
      </c>
      <c r="H35" s="420" t="s">
        <v>1094</v>
      </c>
      <c r="I35" s="420" t="s">
        <v>883</v>
      </c>
      <c r="J35" s="420" t="s">
        <v>883</v>
      </c>
      <c r="K35" s="278">
        <f t="shared" si="0"/>
        <v>3.3333333333333333E-2</v>
      </c>
      <c r="L35" s="278" t="s">
        <v>883</v>
      </c>
      <c r="M35" s="278" t="s">
        <v>883</v>
      </c>
      <c r="N35" s="278" t="s">
        <v>1094</v>
      </c>
      <c r="O35" s="278" t="s">
        <v>883</v>
      </c>
      <c r="P35" s="278" t="s">
        <v>1094</v>
      </c>
      <c r="Q35" s="278" t="s">
        <v>883</v>
      </c>
      <c r="R35" s="278" t="s">
        <v>883</v>
      </c>
      <c r="S35" s="278" t="s">
        <v>1094</v>
      </c>
      <c r="T35" s="278" t="s">
        <v>883</v>
      </c>
      <c r="U35" s="278" t="s">
        <v>883</v>
      </c>
      <c r="V35" s="284">
        <f t="shared" si="1"/>
        <v>105.875</v>
      </c>
      <c r="W35" s="605"/>
      <c r="X35" s="605"/>
      <c r="Y35" s="604">
        <f t="shared" ref="Y35:Y43" si="4">SUM(Z35/16)</f>
        <v>30</v>
      </c>
      <c r="Z35" s="622">
        <v>480</v>
      </c>
      <c r="AA35" s="631">
        <v>900</v>
      </c>
      <c r="AB35" s="261">
        <f t="shared" si="2"/>
        <v>2.0661157024793389E-2</v>
      </c>
      <c r="AC35" s="261">
        <f t="shared" si="3"/>
        <v>0.33057851239669422</v>
      </c>
      <c r="AD35" s="338"/>
      <c r="AE35" s="281" t="s">
        <v>290</v>
      </c>
      <c r="AF35" s="339">
        <v>6</v>
      </c>
      <c r="AG35" s="340" t="s">
        <v>1042</v>
      </c>
      <c r="AH35" s="593" t="s">
        <v>11307</v>
      </c>
    </row>
    <row r="36" spans="1:39" s="13" customFormat="1">
      <c r="A36" s="242" t="s">
        <v>1089</v>
      </c>
      <c r="B36" s="607" t="s">
        <v>11247</v>
      </c>
      <c r="C36" s="608" t="s">
        <v>9629</v>
      </c>
      <c r="D36" s="420" t="s">
        <v>883</v>
      </c>
      <c r="E36" s="420" t="s">
        <v>1094</v>
      </c>
      <c r="F36" s="420" t="s">
        <v>1094</v>
      </c>
      <c r="G36" s="420" t="s">
        <v>883</v>
      </c>
      <c r="H36" s="420" t="s">
        <v>1094</v>
      </c>
      <c r="I36" s="420" t="s">
        <v>883</v>
      </c>
      <c r="J36" s="420" t="s">
        <v>1094</v>
      </c>
      <c r="K36" s="420">
        <f t="shared" ref="K36:K67" si="5">Y36/AA36</f>
        <v>3.5781029619181949E-3</v>
      </c>
      <c r="L36" s="420" t="s">
        <v>883</v>
      </c>
      <c r="M36" s="420" t="s">
        <v>1094</v>
      </c>
      <c r="N36" s="420" t="s">
        <v>1094</v>
      </c>
      <c r="O36" s="420" t="s">
        <v>1094</v>
      </c>
      <c r="P36" s="420" t="s">
        <v>1094</v>
      </c>
      <c r="Q36" s="420" t="s">
        <v>883</v>
      </c>
      <c r="R36" s="420" t="s">
        <v>1094</v>
      </c>
      <c r="S36" s="420" t="s">
        <v>1094</v>
      </c>
      <c r="T36" s="420" t="s">
        <v>1094</v>
      </c>
      <c r="U36" s="420" t="s">
        <v>1094</v>
      </c>
      <c r="V36" s="284">
        <f t="shared" ref="V36:V67" si="6">35/AC36</f>
        <v>134.39703808180536</v>
      </c>
      <c r="W36" s="420"/>
      <c r="X36" s="420"/>
      <c r="Y36" s="626">
        <f t="shared" si="4"/>
        <v>2.5368750000000002</v>
      </c>
      <c r="Z36" s="621">
        <v>40.590000000000003</v>
      </c>
      <c r="AA36" s="609">
        <v>709</v>
      </c>
      <c r="AB36" s="261">
        <f t="shared" ref="AB36:AB67" si="7">AA36/43560</f>
        <v>1.6276400367309457E-2</v>
      </c>
      <c r="AC36" s="261">
        <f t="shared" ref="AC36:AC67" si="8">AB36*16</f>
        <v>0.26042240587695131</v>
      </c>
      <c r="AD36" s="609"/>
      <c r="AE36" s="597" t="s">
        <v>290</v>
      </c>
      <c r="AF36" s="420">
        <v>1</v>
      </c>
      <c r="AG36" s="597" t="s">
        <v>1042</v>
      </c>
      <c r="AH36" s="597" t="s">
        <v>1010</v>
      </c>
    </row>
    <row r="37" spans="1:39" s="13" customFormat="1">
      <c r="A37" s="242" t="s">
        <v>1089</v>
      </c>
      <c r="B37" s="607" t="s">
        <v>11260</v>
      </c>
      <c r="C37" s="608" t="s">
        <v>9583</v>
      </c>
      <c r="D37" s="420" t="s">
        <v>883</v>
      </c>
      <c r="E37" s="420" t="s">
        <v>1094</v>
      </c>
      <c r="F37" s="420" t="s">
        <v>1094</v>
      </c>
      <c r="G37" s="420" t="s">
        <v>883</v>
      </c>
      <c r="H37" s="420" t="s">
        <v>1094</v>
      </c>
      <c r="I37" s="420" t="s">
        <v>883</v>
      </c>
      <c r="J37" s="420" t="s">
        <v>1094</v>
      </c>
      <c r="K37" s="278">
        <f t="shared" si="5"/>
        <v>1.41484375E-2</v>
      </c>
      <c r="L37" s="420" t="s">
        <v>1094</v>
      </c>
      <c r="M37" s="420" t="s">
        <v>1094</v>
      </c>
      <c r="N37" s="420" t="s">
        <v>1094</v>
      </c>
      <c r="O37" s="420" t="s">
        <v>1094</v>
      </c>
      <c r="P37" s="420" t="s">
        <v>1094</v>
      </c>
      <c r="Q37" s="420" t="s">
        <v>1094</v>
      </c>
      <c r="R37" s="420" t="s">
        <v>1094</v>
      </c>
      <c r="S37" s="420" t="s">
        <v>1094</v>
      </c>
      <c r="T37" s="420" t="s">
        <v>1094</v>
      </c>
      <c r="U37" s="420" t="s">
        <v>1094</v>
      </c>
      <c r="V37" s="284">
        <f t="shared" si="6"/>
        <v>397.03125</v>
      </c>
      <c r="W37" s="420"/>
      <c r="X37" s="420"/>
      <c r="Y37" s="626">
        <f t="shared" si="4"/>
        <v>3.3956249999999999</v>
      </c>
      <c r="Z37" s="621">
        <v>54.33</v>
      </c>
      <c r="AA37" s="609">
        <v>240</v>
      </c>
      <c r="AB37" s="261">
        <f t="shared" si="7"/>
        <v>5.5096418732782371E-3</v>
      </c>
      <c r="AC37" s="261">
        <f t="shared" si="8"/>
        <v>8.8154269972451793E-2</v>
      </c>
      <c r="AD37" s="609"/>
      <c r="AE37" s="597" t="s">
        <v>290</v>
      </c>
      <c r="AF37" s="420">
        <v>2</v>
      </c>
      <c r="AG37" s="597" t="s">
        <v>1045</v>
      </c>
      <c r="AH37" s="597"/>
    </row>
    <row r="38" spans="1:39" s="13" customFormat="1">
      <c r="A38" s="242" t="s">
        <v>1089</v>
      </c>
      <c r="B38" s="338" t="s">
        <v>579</v>
      </c>
      <c r="C38" s="594" t="s">
        <v>566</v>
      </c>
      <c r="D38" s="420" t="s">
        <v>1094</v>
      </c>
      <c r="E38" s="420" t="s">
        <v>1094</v>
      </c>
      <c r="F38" s="420" t="s">
        <v>883</v>
      </c>
      <c r="G38" s="420" t="s">
        <v>883</v>
      </c>
      <c r="H38" s="420" t="s">
        <v>1094</v>
      </c>
      <c r="I38" s="420" t="s">
        <v>883</v>
      </c>
      <c r="J38" s="420" t="s">
        <v>1094</v>
      </c>
      <c r="K38" s="278">
        <f t="shared" si="5"/>
        <v>6.0000000000000001E-3</v>
      </c>
      <c r="L38" s="278" t="s">
        <v>883</v>
      </c>
      <c r="M38" s="278" t="s">
        <v>883</v>
      </c>
      <c r="N38" s="278" t="s">
        <v>883</v>
      </c>
      <c r="O38" s="278" t="s">
        <v>883</v>
      </c>
      <c r="P38" s="278" t="s">
        <v>883</v>
      </c>
      <c r="Q38" s="278" t="s">
        <v>883</v>
      </c>
      <c r="R38" s="278" t="s">
        <v>883</v>
      </c>
      <c r="S38" s="278" t="s">
        <v>1094</v>
      </c>
      <c r="T38" s="278" t="s">
        <v>1094</v>
      </c>
      <c r="U38" s="278" t="s">
        <v>883</v>
      </c>
      <c r="V38" s="284">
        <f t="shared" si="6"/>
        <v>9.5287500000000005</v>
      </c>
      <c r="W38" s="605"/>
      <c r="X38" s="605"/>
      <c r="Y38" s="604">
        <f t="shared" si="4"/>
        <v>60</v>
      </c>
      <c r="Z38" s="622">
        <v>960</v>
      </c>
      <c r="AA38" s="631">
        <v>10000</v>
      </c>
      <c r="AB38" s="261">
        <f t="shared" si="7"/>
        <v>0.2295684113865932</v>
      </c>
      <c r="AC38" s="261">
        <f t="shared" si="8"/>
        <v>3.6730945821854912</v>
      </c>
      <c r="AD38" s="338"/>
      <c r="AE38" s="593" t="s">
        <v>863</v>
      </c>
      <c r="AF38" s="339">
        <v>4</v>
      </c>
      <c r="AG38" s="338" t="s">
        <v>1043</v>
      </c>
      <c r="AH38" s="280" t="s">
        <v>1010</v>
      </c>
    </row>
    <row r="39" spans="1:39" s="13" customFormat="1">
      <c r="A39" s="242" t="s">
        <v>1089</v>
      </c>
      <c r="B39" s="607" t="s">
        <v>11261</v>
      </c>
      <c r="C39" s="608" t="s">
        <v>9962</v>
      </c>
      <c r="D39" s="420" t="s">
        <v>883</v>
      </c>
      <c r="E39" s="420" t="s">
        <v>1094</v>
      </c>
      <c r="F39" s="420" t="s">
        <v>883</v>
      </c>
      <c r="G39" s="420" t="s">
        <v>883</v>
      </c>
      <c r="H39" s="420" t="s">
        <v>883</v>
      </c>
      <c r="I39" s="420" t="s">
        <v>883</v>
      </c>
      <c r="J39" s="420" t="s">
        <v>1094</v>
      </c>
      <c r="K39" s="420">
        <f t="shared" si="5"/>
        <v>1.0179398148148147E-2</v>
      </c>
      <c r="L39" s="420" t="s">
        <v>1094</v>
      </c>
      <c r="M39" s="420" t="s">
        <v>1094</v>
      </c>
      <c r="N39" s="420" t="s">
        <v>1094</v>
      </c>
      <c r="O39" s="420" t="s">
        <v>1094</v>
      </c>
      <c r="P39" s="420" t="s">
        <v>1094</v>
      </c>
      <c r="Q39" s="420" t="s">
        <v>1094</v>
      </c>
      <c r="R39" s="420" t="s">
        <v>1094</v>
      </c>
      <c r="S39" s="420" t="s">
        <v>1094</v>
      </c>
      <c r="T39" s="420" t="s">
        <v>1094</v>
      </c>
      <c r="U39" s="420" t="s">
        <v>1094</v>
      </c>
      <c r="V39" s="284">
        <f t="shared" si="6"/>
        <v>441.14583333333331</v>
      </c>
      <c r="W39" s="420"/>
      <c r="X39" s="420"/>
      <c r="Y39" s="626">
        <f t="shared" si="4"/>
        <v>2.19875</v>
      </c>
      <c r="Z39" s="621">
        <v>35.18</v>
      </c>
      <c r="AA39" s="609">
        <v>216</v>
      </c>
      <c r="AB39" s="261">
        <f t="shared" si="7"/>
        <v>4.9586776859504135E-3</v>
      </c>
      <c r="AC39" s="261">
        <f t="shared" si="8"/>
        <v>7.9338842975206617E-2</v>
      </c>
      <c r="AD39" s="609"/>
      <c r="AE39" s="597" t="s">
        <v>292</v>
      </c>
      <c r="AF39" s="420">
        <v>5</v>
      </c>
      <c r="AG39" s="597" t="s">
        <v>1045</v>
      </c>
      <c r="AH39" s="597"/>
    </row>
    <row r="40" spans="1:39" s="13" customFormat="1">
      <c r="A40" s="242" t="s">
        <v>1089</v>
      </c>
      <c r="B40" s="338" t="s">
        <v>841</v>
      </c>
      <c r="C40" s="594" t="s">
        <v>829</v>
      </c>
      <c r="D40" s="420" t="s">
        <v>1094</v>
      </c>
      <c r="E40" s="420" t="s">
        <v>1094</v>
      </c>
      <c r="F40" s="420" t="s">
        <v>883</v>
      </c>
      <c r="G40" s="420" t="s">
        <v>1094</v>
      </c>
      <c r="H40" s="420" t="s">
        <v>1094</v>
      </c>
      <c r="I40" s="420" t="s">
        <v>883</v>
      </c>
      <c r="J40" s="420" t="s">
        <v>883</v>
      </c>
      <c r="K40" s="278">
        <f t="shared" si="5"/>
        <v>8.7890625000000002E-4</v>
      </c>
      <c r="L40" s="278" t="s">
        <v>1094</v>
      </c>
      <c r="M40" s="278" t="s">
        <v>1094</v>
      </c>
      <c r="N40" s="278" t="s">
        <v>1094</v>
      </c>
      <c r="O40" s="278" t="s">
        <v>1094</v>
      </c>
      <c r="P40" s="278" t="s">
        <v>1094</v>
      </c>
      <c r="Q40" s="278" t="s">
        <v>1094</v>
      </c>
      <c r="R40" s="278" t="s">
        <v>1094</v>
      </c>
      <c r="S40" s="278" t="s">
        <v>1094</v>
      </c>
      <c r="T40" s="278" t="s">
        <v>1094</v>
      </c>
      <c r="U40" s="278" t="s">
        <v>1094</v>
      </c>
      <c r="V40" s="284">
        <f t="shared" si="6"/>
        <v>5.9554687500000005</v>
      </c>
      <c r="W40" s="605"/>
      <c r="X40" s="605"/>
      <c r="Y40" s="604">
        <f t="shared" si="4"/>
        <v>14.0625</v>
      </c>
      <c r="Z40" s="622">
        <v>225</v>
      </c>
      <c r="AA40" s="631">
        <v>16000</v>
      </c>
      <c r="AB40" s="261">
        <f t="shared" si="7"/>
        <v>0.3673094582185491</v>
      </c>
      <c r="AC40" s="261">
        <f t="shared" si="8"/>
        <v>5.8769513314967856</v>
      </c>
      <c r="AD40" s="338"/>
      <c r="AE40" s="593" t="s">
        <v>863</v>
      </c>
      <c r="AF40" s="339">
        <v>8</v>
      </c>
      <c r="AG40" s="338" t="s">
        <v>1046</v>
      </c>
      <c r="AH40" s="280" t="s">
        <v>1022</v>
      </c>
    </row>
    <row r="41" spans="1:39" s="13" customFormat="1">
      <c r="A41" s="242" t="s">
        <v>1089</v>
      </c>
      <c r="B41" s="607" t="s">
        <v>11262</v>
      </c>
      <c r="C41" s="608" t="s">
        <v>9528</v>
      </c>
      <c r="D41" s="420" t="s">
        <v>1094</v>
      </c>
      <c r="E41" s="420" t="s">
        <v>1094</v>
      </c>
      <c r="F41" s="420" t="s">
        <v>883</v>
      </c>
      <c r="G41" s="420" t="s">
        <v>883</v>
      </c>
      <c r="H41" s="420" t="s">
        <v>883</v>
      </c>
      <c r="I41" s="420" t="s">
        <v>883</v>
      </c>
      <c r="J41" s="420" t="s">
        <v>1094</v>
      </c>
      <c r="K41" s="278">
        <f t="shared" si="5"/>
        <v>0.22437499999999999</v>
      </c>
      <c r="L41" s="420" t="s">
        <v>883</v>
      </c>
      <c r="M41" s="420" t="s">
        <v>883</v>
      </c>
      <c r="N41" s="420" t="s">
        <v>883</v>
      </c>
      <c r="O41" s="420" t="s">
        <v>883</v>
      </c>
      <c r="P41" s="420" t="s">
        <v>883</v>
      </c>
      <c r="Q41" s="420" t="s">
        <v>883</v>
      </c>
      <c r="R41" s="420" t="s">
        <v>1094</v>
      </c>
      <c r="S41" s="420" t="s">
        <v>1094</v>
      </c>
      <c r="T41" s="420" t="s">
        <v>1094</v>
      </c>
      <c r="U41" s="420" t="s">
        <v>883</v>
      </c>
      <c r="V41" s="284">
        <f t="shared" si="6"/>
        <v>19057.5</v>
      </c>
      <c r="W41" s="420"/>
      <c r="X41" s="420"/>
      <c r="Y41" s="604">
        <f t="shared" si="4"/>
        <v>1.121875</v>
      </c>
      <c r="Z41" s="621">
        <v>17.95</v>
      </c>
      <c r="AA41" s="609">
        <v>5</v>
      </c>
      <c r="AB41" s="261">
        <f t="shared" si="7"/>
        <v>1.147842056932966E-4</v>
      </c>
      <c r="AC41" s="261">
        <f t="shared" si="8"/>
        <v>1.8365472910927456E-3</v>
      </c>
      <c r="AD41" s="609"/>
      <c r="AE41" s="597" t="s">
        <v>290</v>
      </c>
      <c r="AF41" s="420">
        <v>7</v>
      </c>
      <c r="AG41" s="597" t="s">
        <v>1045</v>
      </c>
      <c r="AH41" s="597"/>
    </row>
    <row r="42" spans="1:39" s="13" customFormat="1">
      <c r="A42" s="242" t="s">
        <v>1089</v>
      </c>
      <c r="B42" s="338" t="s">
        <v>584</v>
      </c>
      <c r="C42" s="594" t="s">
        <v>587</v>
      </c>
      <c r="D42" s="420" t="s">
        <v>1094</v>
      </c>
      <c r="E42" s="420" t="s">
        <v>1094</v>
      </c>
      <c r="F42" s="420" t="s">
        <v>883</v>
      </c>
      <c r="G42" s="420" t="s">
        <v>883</v>
      </c>
      <c r="H42" s="420" t="s">
        <v>1094</v>
      </c>
      <c r="I42" s="420" t="s">
        <v>883</v>
      </c>
      <c r="J42" s="420" t="s">
        <v>1094</v>
      </c>
      <c r="K42" s="278">
        <f t="shared" si="5"/>
        <v>9.5858895705521474E-3</v>
      </c>
      <c r="L42" s="278" t="s">
        <v>1094</v>
      </c>
      <c r="M42" s="278" t="s">
        <v>1094</v>
      </c>
      <c r="N42" s="278" t="s">
        <v>1094</v>
      </c>
      <c r="O42" s="278" t="s">
        <v>1094</v>
      </c>
      <c r="P42" s="278" t="s">
        <v>1094</v>
      </c>
      <c r="Q42" s="278" t="s">
        <v>1094</v>
      </c>
      <c r="R42" s="278" t="s">
        <v>1094</v>
      </c>
      <c r="S42" s="278" t="s">
        <v>1094</v>
      </c>
      <c r="T42" s="278" t="s">
        <v>1094</v>
      </c>
      <c r="U42" s="278" t="s">
        <v>1094</v>
      </c>
      <c r="V42" s="284">
        <f t="shared" si="6"/>
        <v>292.29294478527606</v>
      </c>
      <c r="W42" s="605"/>
      <c r="X42" s="605"/>
      <c r="Y42" s="604">
        <f t="shared" si="4"/>
        <v>3.125</v>
      </c>
      <c r="Z42" s="622">
        <v>50</v>
      </c>
      <c r="AA42" s="631">
        <v>326</v>
      </c>
      <c r="AB42" s="261">
        <f t="shared" si="7"/>
        <v>7.4839302112029386E-3</v>
      </c>
      <c r="AC42" s="261">
        <f t="shared" si="8"/>
        <v>0.11974288337924702</v>
      </c>
      <c r="AD42" s="338"/>
      <c r="AE42" s="593" t="s">
        <v>292</v>
      </c>
      <c r="AF42" s="339">
        <v>6</v>
      </c>
      <c r="AG42" s="338" t="s">
        <v>1042</v>
      </c>
      <c r="AH42" s="280" t="s">
        <v>1015</v>
      </c>
    </row>
    <row r="43" spans="1:39" s="13" customFormat="1">
      <c r="A43" s="242" t="s">
        <v>1089</v>
      </c>
      <c r="B43" s="338" t="s">
        <v>843</v>
      </c>
      <c r="C43" s="594" t="s">
        <v>831</v>
      </c>
      <c r="D43" s="420" t="s">
        <v>1094</v>
      </c>
      <c r="E43" s="420" t="s">
        <v>1094</v>
      </c>
      <c r="F43" s="420" t="s">
        <v>883</v>
      </c>
      <c r="G43" s="420" t="s">
        <v>1094</v>
      </c>
      <c r="H43" s="420" t="s">
        <v>1094</v>
      </c>
      <c r="I43" s="420" t="s">
        <v>883</v>
      </c>
      <c r="J43" s="420" t="s">
        <v>883</v>
      </c>
      <c r="K43" s="278">
        <f t="shared" si="5"/>
        <v>7.4013157894736838E-3</v>
      </c>
      <c r="L43" s="278" t="s">
        <v>1094</v>
      </c>
      <c r="M43" s="278" t="s">
        <v>1094</v>
      </c>
      <c r="N43" s="278" t="s">
        <v>1094</v>
      </c>
      <c r="O43" s="278" t="s">
        <v>1094</v>
      </c>
      <c r="P43" s="278" t="s">
        <v>1094</v>
      </c>
      <c r="Q43" s="278" t="s">
        <v>1094</v>
      </c>
      <c r="R43" s="278" t="s">
        <v>1094</v>
      </c>
      <c r="S43" s="278" t="s">
        <v>1094</v>
      </c>
      <c r="T43" s="278" t="s">
        <v>1094</v>
      </c>
      <c r="U43" s="278" t="s">
        <v>1094</v>
      </c>
      <c r="V43" s="284">
        <f t="shared" si="6"/>
        <v>12.537828947368421</v>
      </c>
      <c r="W43" s="605"/>
      <c r="X43" s="605"/>
      <c r="Y43" s="604">
        <f t="shared" si="4"/>
        <v>56.25</v>
      </c>
      <c r="Z43" s="622">
        <v>900</v>
      </c>
      <c r="AA43" s="631">
        <v>7600</v>
      </c>
      <c r="AB43" s="261">
        <f t="shared" si="7"/>
        <v>0.17447199265381083</v>
      </c>
      <c r="AC43" s="261">
        <f t="shared" si="8"/>
        <v>2.7915518824609733</v>
      </c>
      <c r="AD43" s="338"/>
      <c r="AE43" s="593" t="s">
        <v>863</v>
      </c>
      <c r="AF43" s="339">
        <v>8</v>
      </c>
      <c r="AG43" s="338" t="s">
        <v>1043</v>
      </c>
      <c r="AH43" s="280" t="s">
        <v>1023</v>
      </c>
    </row>
    <row r="44" spans="1:39" s="13" customFormat="1">
      <c r="A44" s="242" t="s">
        <v>1089</v>
      </c>
      <c r="B44" s="607" t="s">
        <v>11263</v>
      </c>
      <c r="C44" s="608" t="s">
        <v>9538</v>
      </c>
      <c r="D44" s="420" t="s">
        <v>883</v>
      </c>
      <c r="E44" s="420" t="s">
        <v>1094</v>
      </c>
      <c r="F44" s="420" t="s">
        <v>883</v>
      </c>
      <c r="G44" s="420" t="s">
        <v>883</v>
      </c>
      <c r="H44" s="420" t="s">
        <v>883</v>
      </c>
      <c r="I44" s="420" t="s">
        <v>883</v>
      </c>
      <c r="J44" s="420" t="s">
        <v>1094</v>
      </c>
      <c r="K44" s="278">
        <f t="shared" si="5"/>
        <v>0.161015625</v>
      </c>
      <c r="L44" s="420" t="s">
        <v>883</v>
      </c>
      <c r="M44" s="420" t="s">
        <v>883</v>
      </c>
      <c r="N44" s="420" t="s">
        <v>883</v>
      </c>
      <c r="O44" s="420" t="s">
        <v>883</v>
      </c>
      <c r="P44" s="420" t="s">
        <v>1094</v>
      </c>
      <c r="Q44" s="420" t="s">
        <v>883</v>
      </c>
      <c r="R44" s="420" t="s">
        <v>883</v>
      </c>
      <c r="S44" s="420" t="s">
        <v>1094</v>
      </c>
      <c r="T44" s="420" t="s">
        <v>883</v>
      </c>
      <c r="U44" s="420" t="s">
        <v>883</v>
      </c>
      <c r="V44" s="284">
        <f t="shared" si="6"/>
        <v>11910.9375</v>
      </c>
      <c r="W44" s="420"/>
      <c r="X44" s="420"/>
      <c r="Y44" s="626">
        <f>Z44/16</f>
        <v>1.288125</v>
      </c>
      <c r="Z44" s="621">
        <v>20.61</v>
      </c>
      <c r="AA44" s="609">
        <v>8</v>
      </c>
      <c r="AB44" s="261">
        <f t="shared" si="7"/>
        <v>1.8365472910927456E-4</v>
      </c>
      <c r="AC44" s="261">
        <f t="shared" si="8"/>
        <v>2.9384756657483929E-3</v>
      </c>
      <c r="AD44" s="609"/>
      <c r="AE44" s="597" t="s">
        <v>290</v>
      </c>
      <c r="AF44" s="420">
        <v>7</v>
      </c>
      <c r="AG44" s="597" t="s">
        <v>1045</v>
      </c>
      <c r="AH44" s="597"/>
    </row>
    <row r="45" spans="1:39" s="13" customFormat="1">
      <c r="A45" s="242" t="s">
        <v>1089</v>
      </c>
      <c r="B45" s="607" t="s">
        <v>11266</v>
      </c>
      <c r="C45" s="608" t="s">
        <v>11267</v>
      </c>
      <c r="D45" s="420" t="s">
        <v>1094</v>
      </c>
      <c r="E45" s="420" t="s">
        <v>883</v>
      </c>
      <c r="F45" s="420" t="s">
        <v>883</v>
      </c>
      <c r="G45" s="420" t="s">
        <v>883</v>
      </c>
      <c r="H45" s="420" t="s">
        <v>883</v>
      </c>
      <c r="I45" s="420" t="s">
        <v>883</v>
      </c>
      <c r="J45" s="420" t="s">
        <v>1094</v>
      </c>
      <c r="K45" s="278">
        <f t="shared" si="5"/>
        <v>0</v>
      </c>
      <c r="L45" s="420" t="s">
        <v>883</v>
      </c>
      <c r="M45" s="420" t="s">
        <v>883</v>
      </c>
      <c r="N45" s="420" t="s">
        <v>1094</v>
      </c>
      <c r="O45" s="420" t="s">
        <v>883</v>
      </c>
      <c r="P45" s="420" t="s">
        <v>1094</v>
      </c>
      <c r="Q45" s="420" t="s">
        <v>883</v>
      </c>
      <c r="R45" s="420" t="s">
        <v>883</v>
      </c>
      <c r="S45" s="420" t="s">
        <v>1094</v>
      </c>
      <c r="T45" s="420" t="s">
        <v>883</v>
      </c>
      <c r="U45" s="420" t="s">
        <v>883</v>
      </c>
      <c r="V45" s="284">
        <f t="shared" si="6"/>
        <v>5293.75</v>
      </c>
      <c r="W45" s="420"/>
      <c r="X45" s="420"/>
      <c r="Y45" s="626">
        <v>0</v>
      </c>
      <c r="Z45" s="621">
        <v>0</v>
      </c>
      <c r="AA45" s="609">
        <v>18</v>
      </c>
      <c r="AB45" s="261">
        <f t="shared" si="7"/>
        <v>4.1322314049586776E-4</v>
      </c>
      <c r="AC45" s="261">
        <f t="shared" si="8"/>
        <v>6.6115702479338841E-3</v>
      </c>
      <c r="AD45" s="609"/>
      <c r="AE45" s="597" t="s">
        <v>290</v>
      </c>
      <c r="AF45" s="420">
        <v>4</v>
      </c>
      <c r="AG45" s="597" t="s">
        <v>1045</v>
      </c>
      <c r="AH45" s="597"/>
      <c r="AI45" s="105"/>
      <c r="AJ45" s="105"/>
      <c r="AK45" s="105"/>
      <c r="AL45" s="105"/>
      <c r="AM45" s="105"/>
    </row>
    <row r="46" spans="1:39" s="489" customFormat="1">
      <c r="A46" s="242" t="s">
        <v>1089</v>
      </c>
      <c r="B46" s="338" t="s">
        <v>846</v>
      </c>
      <c r="C46" s="594" t="s">
        <v>833</v>
      </c>
      <c r="D46" s="420" t="s">
        <v>883</v>
      </c>
      <c r="E46" s="420" t="s">
        <v>1094</v>
      </c>
      <c r="F46" s="420" t="s">
        <v>883</v>
      </c>
      <c r="G46" s="420" t="s">
        <v>883</v>
      </c>
      <c r="H46" s="420" t="s">
        <v>883</v>
      </c>
      <c r="I46" s="420" t="s">
        <v>883</v>
      </c>
      <c r="J46" s="420" t="s">
        <v>1094</v>
      </c>
      <c r="K46" s="278">
        <f t="shared" si="5"/>
        <v>6.2500000000000003E-3</v>
      </c>
      <c r="L46" s="278" t="s">
        <v>883</v>
      </c>
      <c r="M46" s="278" t="s">
        <v>1094</v>
      </c>
      <c r="N46" s="278" t="s">
        <v>1094</v>
      </c>
      <c r="O46" s="278" t="s">
        <v>1094</v>
      </c>
      <c r="P46" s="278" t="s">
        <v>1094</v>
      </c>
      <c r="Q46" s="278" t="s">
        <v>883</v>
      </c>
      <c r="R46" s="278" t="s">
        <v>1094</v>
      </c>
      <c r="S46" s="278" t="s">
        <v>1094</v>
      </c>
      <c r="T46" s="278" t="s">
        <v>883</v>
      </c>
      <c r="U46" s="278" t="s">
        <v>883</v>
      </c>
      <c r="V46" s="284">
        <f t="shared" si="6"/>
        <v>173.25</v>
      </c>
      <c r="W46" s="605"/>
      <c r="X46" s="605"/>
      <c r="Y46" s="604">
        <f>SUM(Z46/16)</f>
        <v>3.4375</v>
      </c>
      <c r="Z46" s="622">
        <v>55</v>
      </c>
      <c r="AA46" s="631">
        <v>550</v>
      </c>
      <c r="AB46" s="261">
        <f t="shared" si="7"/>
        <v>1.2626262626262626E-2</v>
      </c>
      <c r="AC46" s="261">
        <f t="shared" si="8"/>
        <v>0.20202020202020202</v>
      </c>
      <c r="AD46" s="338"/>
      <c r="AE46" s="593" t="s">
        <v>292</v>
      </c>
      <c r="AF46" s="339">
        <v>8</v>
      </c>
      <c r="AG46" s="338" t="s">
        <v>1045</v>
      </c>
      <c r="AH46" s="280" t="s">
        <v>1024</v>
      </c>
    </row>
    <row r="47" spans="1:39" s="489" customFormat="1">
      <c r="A47" s="242" t="s">
        <v>1089</v>
      </c>
      <c r="B47" s="338" t="s">
        <v>577</v>
      </c>
      <c r="C47" s="594" t="s">
        <v>564</v>
      </c>
      <c r="D47" s="420" t="s">
        <v>1094</v>
      </c>
      <c r="E47" s="420" t="s">
        <v>1094</v>
      </c>
      <c r="F47" s="420" t="s">
        <v>883</v>
      </c>
      <c r="G47" s="420" t="s">
        <v>1094</v>
      </c>
      <c r="H47" s="420" t="s">
        <v>1094</v>
      </c>
      <c r="I47" s="420" t="s">
        <v>883</v>
      </c>
      <c r="J47" s="420" t="s">
        <v>883</v>
      </c>
      <c r="K47" s="278">
        <f t="shared" si="5"/>
        <v>3.0000000000000001E-3</v>
      </c>
      <c r="L47" s="278" t="s">
        <v>1094</v>
      </c>
      <c r="M47" s="278" t="s">
        <v>1094</v>
      </c>
      <c r="N47" s="278" t="s">
        <v>1094</v>
      </c>
      <c r="O47" s="278" t="s">
        <v>1094</v>
      </c>
      <c r="P47" s="278" t="s">
        <v>1094</v>
      </c>
      <c r="Q47" s="278" t="s">
        <v>1094</v>
      </c>
      <c r="R47" s="278" t="s">
        <v>1094</v>
      </c>
      <c r="S47" s="278" t="s">
        <v>1094</v>
      </c>
      <c r="T47" s="278" t="s">
        <v>1094</v>
      </c>
      <c r="U47" s="278" t="s">
        <v>1094</v>
      </c>
      <c r="V47" s="284">
        <f t="shared" si="6"/>
        <v>38.115000000000002</v>
      </c>
      <c r="W47" s="605"/>
      <c r="X47" s="605"/>
      <c r="Y47" s="604">
        <f>SUM(Z47/16)</f>
        <v>7.5</v>
      </c>
      <c r="Z47" s="622">
        <v>120</v>
      </c>
      <c r="AA47" s="631">
        <v>2500</v>
      </c>
      <c r="AB47" s="261">
        <f t="shared" si="7"/>
        <v>5.73921028466483E-2</v>
      </c>
      <c r="AC47" s="261">
        <f t="shared" si="8"/>
        <v>0.91827364554637281</v>
      </c>
      <c r="AD47" s="338"/>
      <c r="AE47" s="593" t="s">
        <v>863</v>
      </c>
      <c r="AF47" s="339">
        <v>4</v>
      </c>
      <c r="AG47" s="338" t="s">
        <v>1043</v>
      </c>
      <c r="AH47" s="280" t="s">
        <v>1021</v>
      </c>
    </row>
    <row r="48" spans="1:39" s="489" customFormat="1">
      <c r="A48" s="242" t="s">
        <v>1089</v>
      </c>
      <c r="B48" s="607" t="s">
        <v>11237</v>
      </c>
      <c r="C48" s="608" t="s">
        <v>9493</v>
      </c>
      <c r="D48" s="420" t="s">
        <v>883</v>
      </c>
      <c r="E48" s="420" t="s">
        <v>1094</v>
      </c>
      <c r="F48" s="420" t="s">
        <v>1094</v>
      </c>
      <c r="G48" s="420" t="s">
        <v>883</v>
      </c>
      <c r="H48" s="420" t="s">
        <v>883</v>
      </c>
      <c r="I48" s="420" t="s">
        <v>883</v>
      </c>
      <c r="J48" s="420" t="s">
        <v>1094</v>
      </c>
      <c r="K48" s="278">
        <f t="shared" si="5"/>
        <v>0.13570833333333335</v>
      </c>
      <c r="L48" s="420" t="s">
        <v>883</v>
      </c>
      <c r="M48" s="420" t="s">
        <v>883</v>
      </c>
      <c r="N48" s="420" t="s">
        <v>1094</v>
      </c>
      <c r="O48" s="420" t="s">
        <v>883</v>
      </c>
      <c r="P48" s="420" t="s">
        <v>883</v>
      </c>
      <c r="Q48" s="420" t="s">
        <v>883</v>
      </c>
      <c r="R48" s="420" t="s">
        <v>883</v>
      </c>
      <c r="S48" s="420" t="s">
        <v>1094</v>
      </c>
      <c r="T48" s="420" t="s">
        <v>1094</v>
      </c>
      <c r="U48" s="420" t="s">
        <v>883</v>
      </c>
      <c r="V48" s="284">
        <f t="shared" si="6"/>
        <v>3176.25</v>
      </c>
      <c r="W48" s="420"/>
      <c r="X48" s="420"/>
      <c r="Y48" s="626">
        <f>Z48/16</f>
        <v>4.07125</v>
      </c>
      <c r="Z48" s="621">
        <v>65.14</v>
      </c>
      <c r="AA48" s="609">
        <v>30</v>
      </c>
      <c r="AB48" s="261">
        <f t="shared" si="7"/>
        <v>6.8870523415977963E-4</v>
      </c>
      <c r="AC48" s="261">
        <f t="shared" si="8"/>
        <v>1.1019283746556474E-2</v>
      </c>
      <c r="AD48" s="609"/>
      <c r="AE48" s="597" t="s">
        <v>290</v>
      </c>
      <c r="AF48" s="420">
        <v>6</v>
      </c>
      <c r="AG48" s="597" t="s">
        <v>1042</v>
      </c>
      <c r="AH48" s="597"/>
    </row>
    <row r="49" spans="1:34" s="489" customFormat="1">
      <c r="A49" s="242" t="s">
        <v>1089</v>
      </c>
      <c r="B49" s="607" t="s">
        <v>11268</v>
      </c>
      <c r="C49" s="608" t="s">
        <v>10292</v>
      </c>
      <c r="D49" s="420" t="s">
        <v>883</v>
      </c>
      <c r="E49" s="420" t="s">
        <v>1094</v>
      </c>
      <c r="F49" s="420" t="s">
        <v>1094</v>
      </c>
      <c r="G49" s="420" t="s">
        <v>883</v>
      </c>
      <c r="H49" s="420" t="s">
        <v>1094</v>
      </c>
      <c r="I49" s="420" t="s">
        <v>883</v>
      </c>
      <c r="J49" s="420" t="s">
        <v>1094</v>
      </c>
      <c r="K49" s="278">
        <f t="shared" si="5"/>
        <v>0.10198863636363636</v>
      </c>
      <c r="L49" s="420" t="s">
        <v>883</v>
      </c>
      <c r="M49" s="420" t="s">
        <v>883</v>
      </c>
      <c r="N49" s="420" t="s">
        <v>1094</v>
      </c>
      <c r="O49" s="420" t="s">
        <v>883</v>
      </c>
      <c r="P49" s="420" t="s">
        <v>1094</v>
      </c>
      <c r="Q49" s="420" t="s">
        <v>883</v>
      </c>
      <c r="R49" s="420" t="s">
        <v>1094</v>
      </c>
      <c r="S49" s="420" t="s">
        <v>1094</v>
      </c>
      <c r="T49" s="420" t="s">
        <v>1094</v>
      </c>
      <c r="U49" s="420" t="s">
        <v>883</v>
      </c>
      <c r="V49" s="284">
        <f t="shared" si="6"/>
        <v>8662.5</v>
      </c>
      <c r="W49" s="420"/>
      <c r="X49" s="420"/>
      <c r="Y49" s="626">
        <f>Z49/16</f>
        <v>1.121875</v>
      </c>
      <c r="Z49" s="621">
        <v>17.95</v>
      </c>
      <c r="AA49" s="609">
        <v>11</v>
      </c>
      <c r="AB49" s="261">
        <f t="shared" si="7"/>
        <v>2.5252525252525253E-4</v>
      </c>
      <c r="AC49" s="261">
        <f t="shared" si="8"/>
        <v>4.0404040404040404E-3</v>
      </c>
      <c r="AD49" s="609"/>
      <c r="AE49" s="597" t="s">
        <v>290</v>
      </c>
      <c r="AF49" s="420">
        <v>8</v>
      </c>
      <c r="AG49" s="281" t="s">
        <v>1045</v>
      </c>
      <c r="AH49" s="280"/>
    </row>
    <row r="50" spans="1:34" s="489" customFormat="1">
      <c r="A50" s="242" t="s">
        <v>1089</v>
      </c>
      <c r="B50" s="338" t="s">
        <v>571</v>
      </c>
      <c r="C50" s="594" t="s">
        <v>558</v>
      </c>
      <c r="D50" s="420" t="s">
        <v>1094</v>
      </c>
      <c r="E50" s="421" t="s">
        <v>1094</v>
      </c>
      <c r="F50" s="420" t="s">
        <v>883</v>
      </c>
      <c r="G50" s="420" t="s">
        <v>883</v>
      </c>
      <c r="H50" s="420" t="s">
        <v>1094</v>
      </c>
      <c r="I50" s="420" t="s">
        <v>883</v>
      </c>
      <c r="J50" s="420" t="s">
        <v>1094</v>
      </c>
      <c r="K50" s="278">
        <f t="shared" si="5"/>
        <v>1.6544117647058823E-4</v>
      </c>
      <c r="L50" s="278" t="s">
        <v>883</v>
      </c>
      <c r="M50" s="278" t="s">
        <v>883</v>
      </c>
      <c r="N50" s="278" t="s">
        <v>1094</v>
      </c>
      <c r="O50" s="278" t="s">
        <v>1094</v>
      </c>
      <c r="P50" s="278" t="s">
        <v>1094</v>
      </c>
      <c r="Q50" s="278" t="s">
        <v>883</v>
      </c>
      <c r="R50" s="278" t="s">
        <v>1094</v>
      </c>
      <c r="S50" s="278" t="s">
        <v>1094</v>
      </c>
      <c r="T50" s="278" t="s">
        <v>883</v>
      </c>
      <c r="U50" s="278" t="s">
        <v>883</v>
      </c>
      <c r="V50" s="284">
        <f t="shared" si="6"/>
        <v>2.8025735294117644</v>
      </c>
      <c r="W50" s="605"/>
      <c r="X50" s="605"/>
      <c r="Y50" s="604">
        <f>SUM(Z50/16)</f>
        <v>5.625</v>
      </c>
      <c r="Z50" s="622">
        <v>90</v>
      </c>
      <c r="AA50" s="631">
        <v>34000</v>
      </c>
      <c r="AB50" s="261">
        <f t="shared" si="7"/>
        <v>0.78053259871441694</v>
      </c>
      <c r="AC50" s="261">
        <f t="shared" si="8"/>
        <v>12.488521579430671</v>
      </c>
      <c r="AD50" s="338"/>
      <c r="AE50" s="593" t="s">
        <v>863</v>
      </c>
      <c r="AF50" s="339">
        <v>8</v>
      </c>
      <c r="AG50" s="338" t="s">
        <v>1042</v>
      </c>
      <c r="AH50" s="280" t="s">
        <v>1010</v>
      </c>
    </row>
    <row r="51" spans="1:34" s="489" customFormat="1">
      <c r="A51" s="242" t="s">
        <v>1089</v>
      </c>
      <c r="B51" s="338" t="s">
        <v>575</v>
      </c>
      <c r="C51" s="594" t="s">
        <v>562</v>
      </c>
      <c r="D51" s="420" t="s">
        <v>1094</v>
      </c>
      <c r="E51" s="420" t="s">
        <v>1094</v>
      </c>
      <c r="F51" s="420" t="s">
        <v>883</v>
      </c>
      <c r="G51" s="420" t="s">
        <v>1094</v>
      </c>
      <c r="H51" s="420" t="s">
        <v>1094</v>
      </c>
      <c r="I51" s="420" t="s">
        <v>883</v>
      </c>
      <c r="J51" s="420" t="s">
        <v>883</v>
      </c>
      <c r="K51" s="278">
        <f t="shared" si="5"/>
        <v>5.6249999999999998E-3</v>
      </c>
      <c r="L51" s="278" t="s">
        <v>1094</v>
      </c>
      <c r="M51" s="278" t="s">
        <v>1094</v>
      </c>
      <c r="N51" s="278" t="s">
        <v>1094</v>
      </c>
      <c r="O51" s="278" t="s">
        <v>1094</v>
      </c>
      <c r="P51" s="278" t="s">
        <v>1094</v>
      </c>
      <c r="Q51" s="278" t="s">
        <v>1094</v>
      </c>
      <c r="R51" s="278" t="s">
        <v>1094</v>
      </c>
      <c r="S51" s="278" t="s">
        <v>1094</v>
      </c>
      <c r="T51" s="278" t="s">
        <v>1094</v>
      </c>
      <c r="U51" s="278" t="s">
        <v>1094</v>
      </c>
      <c r="V51" s="284">
        <f t="shared" si="6"/>
        <v>38.115000000000002</v>
      </c>
      <c r="W51" s="605"/>
      <c r="X51" s="605"/>
      <c r="Y51" s="604">
        <f>SUM(Z51/16)</f>
        <v>14.0625</v>
      </c>
      <c r="Z51" s="622">
        <v>225</v>
      </c>
      <c r="AA51" s="631">
        <v>2500</v>
      </c>
      <c r="AB51" s="261">
        <f t="shared" si="7"/>
        <v>5.73921028466483E-2</v>
      </c>
      <c r="AC51" s="261">
        <f t="shared" si="8"/>
        <v>0.91827364554637281</v>
      </c>
      <c r="AD51" s="338"/>
      <c r="AE51" s="593" t="s">
        <v>863</v>
      </c>
      <c r="AF51" s="339">
        <v>4</v>
      </c>
      <c r="AG51" s="338" t="s">
        <v>1043</v>
      </c>
      <c r="AH51" s="280" t="s">
        <v>1021</v>
      </c>
    </row>
    <row r="52" spans="1:34" s="489" customFormat="1">
      <c r="A52" s="242" t="s">
        <v>1089</v>
      </c>
      <c r="B52" s="607" t="s">
        <v>11269</v>
      </c>
      <c r="C52" s="608" t="s">
        <v>10185</v>
      </c>
      <c r="D52" s="420" t="s">
        <v>883</v>
      </c>
      <c r="E52" s="420" t="s">
        <v>1094</v>
      </c>
      <c r="F52" s="420" t="s">
        <v>883</v>
      </c>
      <c r="G52" s="420" t="s">
        <v>883</v>
      </c>
      <c r="H52" s="420" t="s">
        <v>883</v>
      </c>
      <c r="I52" s="420" t="s">
        <v>883</v>
      </c>
      <c r="J52" s="420" t="s">
        <v>1094</v>
      </c>
      <c r="K52" s="278">
        <f t="shared" si="5"/>
        <v>3.5094745273275299E-6</v>
      </c>
      <c r="L52" s="420" t="s">
        <v>1094</v>
      </c>
      <c r="M52" s="420" t="s">
        <v>1094</v>
      </c>
      <c r="N52" s="420" t="s">
        <v>1094</v>
      </c>
      <c r="O52" s="420" t="s">
        <v>1094</v>
      </c>
      <c r="P52" s="420" t="s">
        <v>1094</v>
      </c>
      <c r="Q52" s="420" t="s">
        <v>1094</v>
      </c>
      <c r="R52" s="420" t="s">
        <v>1094</v>
      </c>
      <c r="S52" s="420" t="s">
        <v>1094</v>
      </c>
      <c r="T52" s="420" t="s">
        <v>1094</v>
      </c>
      <c r="U52" s="420" t="s">
        <v>1094</v>
      </c>
      <c r="V52" s="284">
        <f t="shared" si="6"/>
        <v>0.40169255738465104</v>
      </c>
      <c r="W52" s="420"/>
      <c r="X52" s="420"/>
      <c r="Y52" s="626">
        <f>Z52/16</f>
        <v>0.83250000000000002</v>
      </c>
      <c r="Z52" s="621">
        <v>13.32</v>
      </c>
      <c r="AA52" s="609">
        <v>237215</v>
      </c>
      <c r="AB52" s="261">
        <f t="shared" si="7"/>
        <v>5.4457070707070709</v>
      </c>
      <c r="AC52" s="261">
        <f t="shared" si="8"/>
        <v>87.131313131313135</v>
      </c>
      <c r="AD52" s="609"/>
      <c r="AE52" s="597" t="s">
        <v>290</v>
      </c>
      <c r="AF52" s="420">
        <v>2</v>
      </c>
      <c r="AG52" s="281" t="s">
        <v>1045</v>
      </c>
      <c r="AH52" s="280"/>
    </row>
    <row r="53" spans="1:34" s="489" customFormat="1">
      <c r="A53" s="242" t="s">
        <v>1089</v>
      </c>
      <c r="B53" s="607" t="s">
        <v>11270</v>
      </c>
      <c r="C53" s="608" t="s">
        <v>10296</v>
      </c>
      <c r="D53" s="420" t="s">
        <v>1094</v>
      </c>
      <c r="E53" s="420" t="s">
        <v>1094</v>
      </c>
      <c r="F53" s="420" t="s">
        <v>883</v>
      </c>
      <c r="G53" s="420" t="s">
        <v>883</v>
      </c>
      <c r="H53" s="420" t="s">
        <v>1094</v>
      </c>
      <c r="I53" s="420" t="s">
        <v>883</v>
      </c>
      <c r="J53" s="420" t="s">
        <v>1094</v>
      </c>
      <c r="K53" s="278">
        <f t="shared" si="5"/>
        <v>0.14023437499999999</v>
      </c>
      <c r="L53" s="420" t="s">
        <v>1094</v>
      </c>
      <c r="M53" s="420" t="s">
        <v>1094</v>
      </c>
      <c r="N53" s="420" t="s">
        <v>1094</v>
      </c>
      <c r="O53" s="420" t="s">
        <v>1094</v>
      </c>
      <c r="P53" s="420" t="s">
        <v>1094</v>
      </c>
      <c r="Q53" s="420" t="s">
        <v>1094</v>
      </c>
      <c r="R53" s="420" t="s">
        <v>1094</v>
      </c>
      <c r="S53" s="420" t="s">
        <v>1094</v>
      </c>
      <c r="T53" s="420" t="s">
        <v>1094</v>
      </c>
      <c r="U53" s="420" t="s">
        <v>1094</v>
      </c>
      <c r="V53" s="284">
        <f t="shared" si="6"/>
        <v>11910.9375</v>
      </c>
      <c r="W53" s="420"/>
      <c r="X53" s="420"/>
      <c r="Y53" s="626">
        <f>Z53/16</f>
        <v>1.121875</v>
      </c>
      <c r="Z53" s="621">
        <v>17.95</v>
      </c>
      <c r="AA53" s="609">
        <v>8</v>
      </c>
      <c r="AB53" s="261">
        <f t="shared" si="7"/>
        <v>1.8365472910927456E-4</v>
      </c>
      <c r="AC53" s="261">
        <f t="shared" si="8"/>
        <v>2.9384756657483929E-3</v>
      </c>
      <c r="AD53" s="609"/>
      <c r="AE53" s="597" t="s">
        <v>290</v>
      </c>
      <c r="AF53" s="420">
        <v>6</v>
      </c>
      <c r="AG53" s="281" t="s">
        <v>1045</v>
      </c>
      <c r="AH53" s="280"/>
    </row>
    <row r="54" spans="1:34" s="489" customFormat="1">
      <c r="A54" s="242" t="s">
        <v>1089</v>
      </c>
      <c r="B54" s="338" t="s">
        <v>844</v>
      </c>
      <c r="C54" s="594" t="s">
        <v>267</v>
      </c>
      <c r="D54" s="420" t="s">
        <v>1094</v>
      </c>
      <c r="E54" s="420" t="s">
        <v>883</v>
      </c>
      <c r="F54" s="420" t="s">
        <v>883</v>
      </c>
      <c r="G54" s="420" t="s">
        <v>1094</v>
      </c>
      <c r="H54" s="420" t="s">
        <v>1094</v>
      </c>
      <c r="I54" s="420" t="s">
        <v>883</v>
      </c>
      <c r="J54" s="420" t="s">
        <v>883</v>
      </c>
      <c r="K54" s="278">
        <f t="shared" si="5"/>
        <v>5.6249999999999998E-3</v>
      </c>
      <c r="L54" s="278" t="s">
        <v>883</v>
      </c>
      <c r="M54" s="278" t="s">
        <v>1094</v>
      </c>
      <c r="N54" s="278" t="s">
        <v>883</v>
      </c>
      <c r="O54" s="278" t="s">
        <v>883</v>
      </c>
      <c r="P54" s="278" t="s">
        <v>1094</v>
      </c>
      <c r="Q54" s="278" t="s">
        <v>1094</v>
      </c>
      <c r="R54" s="278" t="s">
        <v>883</v>
      </c>
      <c r="S54" s="278" t="s">
        <v>883</v>
      </c>
      <c r="T54" s="278" t="s">
        <v>1094</v>
      </c>
      <c r="U54" s="278" t="s">
        <v>883</v>
      </c>
      <c r="V54" s="284">
        <f t="shared" si="6"/>
        <v>9.5287500000000005</v>
      </c>
      <c r="W54" s="605"/>
      <c r="X54" s="605"/>
      <c r="Y54" s="604">
        <f>SUM(Z54/16)</f>
        <v>56.25</v>
      </c>
      <c r="Z54" s="622">
        <v>900</v>
      </c>
      <c r="AA54" s="631">
        <v>10000</v>
      </c>
      <c r="AB54" s="261">
        <f t="shared" si="7"/>
        <v>0.2295684113865932</v>
      </c>
      <c r="AC54" s="261">
        <f t="shared" si="8"/>
        <v>3.6730945821854912</v>
      </c>
      <c r="AD54" s="338"/>
      <c r="AE54" s="593" t="s">
        <v>863</v>
      </c>
      <c r="AF54" s="339">
        <v>8</v>
      </c>
      <c r="AG54" s="338" t="s">
        <v>1043</v>
      </c>
      <c r="AH54" s="280" t="s">
        <v>1023</v>
      </c>
    </row>
    <row r="55" spans="1:34" s="449" customFormat="1">
      <c r="A55" s="242" t="s">
        <v>1089</v>
      </c>
      <c r="B55" s="338" t="s">
        <v>552</v>
      </c>
      <c r="C55" s="594" t="s">
        <v>269</v>
      </c>
      <c r="D55" s="420" t="s">
        <v>883</v>
      </c>
      <c r="E55" s="420" t="s">
        <v>883</v>
      </c>
      <c r="F55" s="420" t="s">
        <v>1094</v>
      </c>
      <c r="G55" s="420" t="s">
        <v>883</v>
      </c>
      <c r="H55" s="420" t="s">
        <v>883</v>
      </c>
      <c r="I55" s="420" t="s">
        <v>1094</v>
      </c>
      <c r="J55" s="420" t="s">
        <v>883</v>
      </c>
      <c r="K55" s="278">
        <f t="shared" si="5"/>
        <v>4.0584415584415581E-3</v>
      </c>
      <c r="L55" s="278" t="s">
        <v>883</v>
      </c>
      <c r="M55" s="278" t="s">
        <v>883</v>
      </c>
      <c r="N55" s="278" t="s">
        <v>883</v>
      </c>
      <c r="O55" s="278" t="s">
        <v>1094</v>
      </c>
      <c r="P55" s="278" t="s">
        <v>1094</v>
      </c>
      <c r="Q55" s="278" t="s">
        <v>1094</v>
      </c>
      <c r="R55" s="278" t="s">
        <v>883</v>
      </c>
      <c r="S55" s="278" t="s">
        <v>883</v>
      </c>
      <c r="T55" s="278" t="s">
        <v>883</v>
      </c>
      <c r="U55" s="278" t="s">
        <v>883</v>
      </c>
      <c r="V55" s="284">
        <f t="shared" si="6"/>
        <v>88.392857142857139</v>
      </c>
      <c r="W55" s="605"/>
      <c r="X55" s="605"/>
      <c r="Y55" s="604">
        <f>SUM(Z55/16)</f>
        <v>4.375</v>
      </c>
      <c r="Z55" s="622">
        <v>70</v>
      </c>
      <c r="AA55" s="631">
        <v>1078</v>
      </c>
      <c r="AB55" s="261">
        <f t="shared" si="7"/>
        <v>2.4747474747474747E-2</v>
      </c>
      <c r="AC55" s="261">
        <f t="shared" si="8"/>
        <v>0.39595959595959596</v>
      </c>
      <c r="AD55" s="338"/>
      <c r="AE55" s="593" t="s">
        <v>294</v>
      </c>
      <c r="AF55" s="339">
        <v>7</v>
      </c>
      <c r="AG55" s="338" t="s">
        <v>1042</v>
      </c>
      <c r="AH55" s="280" t="s">
        <v>1010</v>
      </c>
    </row>
    <row r="56" spans="1:34" s="489" customFormat="1">
      <c r="A56" s="242" t="s">
        <v>1089</v>
      </c>
      <c r="B56" s="607" t="s">
        <v>11271</v>
      </c>
      <c r="C56" s="608" t="s">
        <v>9501</v>
      </c>
      <c r="D56" s="420" t="s">
        <v>883</v>
      </c>
      <c r="E56" s="420" t="s">
        <v>1094</v>
      </c>
      <c r="F56" s="420" t="s">
        <v>1094</v>
      </c>
      <c r="G56" s="420" t="s">
        <v>883</v>
      </c>
      <c r="H56" s="420" t="s">
        <v>1094</v>
      </c>
      <c r="I56" s="420" t="s">
        <v>883</v>
      </c>
      <c r="J56" s="420" t="s">
        <v>1094</v>
      </c>
      <c r="K56" s="278">
        <f t="shared" si="5"/>
        <v>4.3978315094946898E-4</v>
      </c>
      <c r="L56" s="420" t="s">
        <v>883</v>
      </c>
      <c r="M56" s="420" t="s">
        <v>1094</v>
      </c>
      <c r="N56" s="420" t="s">
        <v>1094</v>
      </c>
      <c r="O56" s="420" t="s">
        <v>1094</v>
      </c>
      <c r="P56" s="420" t="s">
        <v>1094</v>
      </c>
      <c r="Q56" s="420" t="s">
        <v>883</v>
      </c>
      <c r="R56" s="420" t="s">
        <v>1094</v>
      </c>
      <c r="S56" s="420" t="s">
        <v>1094</v>
      </c>
      <c r="T56" s="420" t="s">
        <v>1094</v>
      </c>
      <c r="U56" s="420" t="s">
        <v>1094</v>
      </c>
      <c r="V56" s="284">
        <f t="shared" si="6"/>
        <v>7.6671628580624391</v>
      </c>
      <c r="W56" s="420"/>
      <c r="X56" s="420"/>
      <c r="Y56" s="626">
        <f>Z56/16</f>
        <v>5.4656250000000002</v>
      </c>
      <c r="Z56" s="621">
        <v>87.45</v>
      </c>
      <c r="AA56" s="609">
        <v>12428</v>
      </c>
      <c r="AB56" s="261">
        <f t="shared" si="7"/>
        <v>0.28530762167125806</v>
      </c>
      <c r="AC56" s="261">
        <f t="shared" si="8"/>
        <v>4.564921946740129</v>
      </c>
      <c r="AD56" s="609"/>
      <c r="AE56" s="597" t="s">
        <v>290</v>
      </c>
      <c r="AF56" s="420">
        <v>6</v>
      </c>
      <c r="AG56" s="281" t="s">
        <v>1045</v>
      </c>
      <c r="AH56" s="280"/>
    </row>
    <row r="57" spans="1:34" s="489" customFormat="1">
      <c r="A57" s="242" t="s">
        <v>1089</v>
      </c>
      <c r="B57" s="338" t="s">
        <v>550</v>
      </c>
      <c r="C57" s="594" t="s">
        <v>266</v>
      </c>
      <c r="D57" s="420" t="s">
        <v>883</v>
      </c>
      <c r="E57" s="420" t="s">
        <v>1094</v>
      </c>
      <c r="F57" s="420" t="s">
        <v>1094</v>
      </c>
      <c r="G57" s="420" t="s">
        <v>883</v>
      </c>
      <c r="H57" s="420" t="s">
        <v>1094</v>
      </c>
      <c r="I57" s="420" t="s">
        <v>1094</v>
      </c>
      <c r="J57" s="420" t="s">
        <v>1094</v>
      </c>
      <c r="K57" s="278">
        <f t="shared" si="5"/>
        <v>2.9605263157894735E-2</v>
      </c>
      <c r="L57" s="278" t="s">
        <v>1094</v>
      </c>
      <c r="M57" s="278" t="s">
        <v>1094</v>
      </c>
      <c r="N57" s="278" t="s">
        <v>1094</v>
      </c>
      <c r="O57" s="278" t="s">
        <v>1094</v>
      </c>
      <c r="P57" s="278" t="s">
        <v>1094</v>
      </c>
      <c r="Q57" s="278" t="s">
        <v>1094</v>
      </c>
      <c r="R57" s="278" t="s">
        <v>1094</v>
      </c>
      <c r="S57" s="278" t="s">
        <v>1094</v>
      </c>
      <c r="T57" s="278" t="s">
        <v>1094</v>
      </c>
      <c r="U57" s="278" t="s">
        <v>1094</v>
      </c>
      <c r="V57" s="284">
        <f t="shared" si="6"/>
        <v>1003.0263157894736</v>
      </c>
      <c r="W57" s="605"/>
      <c r="X57" s="605"/>
      <c r="Y57" s="604">
        <f>SUM(Z57/16)</f>
        <v>2.8125</v>
      </c>
      <c r="Z57" s="622">
        <v>45</v>
      </c>
      <c r="AA57" s="631">
        <v>95</v>
      </c>
      <c r="AB57" s="261">
        <f t="shared" si="7"/>
        <v>2.1808999081726357E-3</v>
      </c>
      <c r="AC57" s="261">
        <f t="shared" si="8"/>
        <v>3.489439853076217E-2</v>
      </c>
      <c r="AD57" s="338"/>
      <c r="AE57" s="281" t="s">
        <v>290</v>
      </c>
      <c r="AF57" s="242">
        <v>1</v>
      </c>
      <c r="AG57" s="342" t="s">
        <v>1051</v>
      </c>
      <c r="AH57" s="280" t="s">
        <v>15</v>
      </c>
    </row>
    <row r="58" spans="1:34" s="489" customFormat="1">
      <c r="A58" s="242" t="s">
        <v>1089</v>
      </c>
      <c r="B58" s="530" t="s">
        <v>11160</v>
      </c>
      <c r="C58" s="552" t="s">
        <v>11161</v>
      </c>
      <c r="D58" s="553" t="s">
        <v>883</v>
      </c>
      <c r="E58" s="547" t="s">
        <v>1094</v>
      </c>
      <c r="F58" s="547" t="s">
        <v>1094</v>
      </c>
      <c r="G58" s="547" t="s">
        <v>1094</v>
      </c>
      <c r="H58" s="548" t="s">
        <v>1094</v>
      </c>
      <c r="I58" s="547" t="s">
        <v>883</v>
      </c>
      <c r="J58" s="548" t="s">
        <v>1094</v>
      </c>
      <c r="K58" s="278">
        <f t="shared" si="5"/>
        <v>1.7647058823529412E-3</v>
      </c>
      <c r="L58" s="547" t="s">
        <v>883</v>
      </c>
      <c r="M58" s="547" t="s">
        <v>1094</v>
      </c>
      <c r="N58" s="547" t="s">
        <v>1094</v>
      </c>
      <c r="O58" s="547" t="s">
        <v>1094</v>
      </c>
      <c r="P58" s="547" t="s">
        <v>1094</v>
      </c>
      <c r="Q58" s="547" t="s">
        <v>883</v>
      </c>
      <c r="R58" s="547" t="s">
        <v>1094</v>
      </c>
      <c r="S58" s="533" t="s">
        <v>1094</v>
      </c>
      <c r="T58" s="547" t="s">
        <v>883</v>
      </c>
      <c r="U58" s="547" t="s">
        <v>1094</v>
      </c>
      <c r="V58" s="284">
        <f t="shared" si="6"/>
        <v>2.8025735294117644</v>
      </c>
      <c r="W58" s="535"/>
      <c r="X58" s="536"/>
      <c r="Y58" s="537">
        <v>60</v>
      </c>
      <c r="Z58" s="623">
        <v>960</v>
      </c>
      <c r="AA58" s="539">
        <v>34000</v>
      </c>
      <c r="AB58" s="261">
        <f t="shared" si="7"/>
        <v>0.78053259871441694</v>
      </c>
      <c r="AC58" s="261">
        <f t="shared" si="8"/>
        <v>12.488521579430671</v>
      </c>
      <c r="AD58" s="539"/>
      <c r="AE58" s="592" t="s">
        <v>863</v>
      </c>
      <c r="AF58" s="541">
        <v>6</v>
      </c>
      <c r="AG58" s="542" t="s">
        <v>1043</v>
      </c>
      <c r="AH58" s="543" t="s">
        <v>1010</v>
      </c>
    </row>
    <row r="59" spans="1:34" s="489" customFormat="1">
      <c r="A59" s="242" t="s">
        <v>1089</v>
      </c>
      <c r="B59" s="297" t="s">
        <v>546</v>
      </c>
      <c r="C59" s="594" t="s">
        <v>262</v>
      </c>
      <c r="D59" s="337" t="s">
        <v>1094</v>
      </c>
      <c r="E59" s="337" t="s">
        <v>883</v>
      </c>
      <c r="F59" s="337" t="s">
        <v>883</v>
      </c>
      <c r="G59" s="337" t="s">
        <v>1094</v>
      </c>
      <c r="H59" s="337" t="s">
        <v>883</v>
      </c>
      <c r="I59" s="337" t="s">
        <v>883</v>
      </c>
      <c r="J59" s="337" t="s">
        <v>883</v>
      </c>
      <c r="K59" s="278">
        <f t="shared" si="5"/>
        <v>7.1364706908583393E-4</v>
      </c>
      <c r="L59" s="278" t="s">
        <v>883</v>
      </c>
      <c r="M59" s="278" t="s">
        <v>883</v>
      </c>
      <c r="N59" s="278" t="s">
        <v>883</v>
      </c>
      <c r="O59" s="278" t="s">
        <v>1094</v>
      </c>
      <c r="P59" s="278" t="s">
        <v>1094</v>
      </c>
      <c r="Q59" s="278" t="s">
        <v>883</v>
      </c>
      <c r="R59" s="278" t="s">
        <v>883</v>
      </c>
      <c r="S59" s="278" t="s">
        <v>883</v>
      </c>
      <c r="T59" s="278" t="s">
        <v>883</v>
      </c>
      <c r="U59" s="278" t="s">
        <v>883</v>
      </c>
      <c r="V59" s="284">
        <f t="shared" si="6"/>
        <v>16.623778785764131</v>
      </c>
      <c r="W59" s="279"/>
      <c r="X59" s="279"/>
      <c r="Y59" s="604">
        <f>SUM(Z59/16)</f>
        <v>4.0906250000000002</v>
      </c>
      <c r="Z59" s="622">
        <v>65.45</v>
      </c>
      <c r="AA59" s="289">
        <v>5732</v>
      </c>
      <c r="AB59" s="261">
        <f t="shared" si="7"/>
        <v>0.13158861340679523</v>
      </c>
      <c r="AC59" s="261">
        <f t="shared" si="8"/>
        <v>2.1054178145087237</v>
      </c>
      <c r="AD59" s="297"/>
      <c r="AE59" s="281" t="s">
        <v>290</v>
      </c>
      <c r="AF59" s="341">
        <v>10</v>
      </c>
      <c r="AG59" s="343" t="s">
        <v>1042</v>
      </c>
      <c r="AH59" s="593" t="s">
        <v>1010</v>
      </c>
    </row>
    <row r="60" spans="1:34" s="489" customFormat="1">
      <c r="A60" s="242" t="s">
        <v>1089</v>
      </c>
      <c r="B60" s="607" t="s">
        <v>11248</v>
      </c>
      <c r="C60" s="608" t="s">
        <v>10778</v>
      </c>
      <c r="D60" s="420" t="s">
        <v>883</v>
      </c>
      <c r="E60" s="420" t="s">
        <v>883</v>
      </c>
      <c r="F60" s="420" t="s">
        <v>1094</v>
      </c>
      <c r="G60" s="420" t="s">
        <v>883</v>
      </c>
      <c r="H60" s="420" t="s">
        <v>1094</v>
      </c>
      <c r="I60" s="420" t="s">
        <v>1094</v>
      </c>
      <c r="J60" s="420" t="s">
        <v>1094</v>
      </c>
      <c r="K60" s="278">
        <f t="shared" si="5"/>
        <v>0</v>
      </c>
      <c r="L60" s="420" t="s">
        <v>1094</v>
      </c>
      <c r="M60" s="420" t="s">
        <v>1094</v>
      </c>
      <c r="N60" s="420" t="s">
        <v>1094</v>
      </c>
      <c r="O60" s="420" t="s">
        <v>1094</v>
      </c>
      <c r="P60" s="420" t="s">
        <v>1094</v>
      </c>
      <c r="Q60" s="420" t="s">
        <v>1094</v>
      </c>
      <c r="R60" s="420" t="s">
        <v>1094</v>
      </c>
      <c r="S60" s="420" t="s">
        <v>1094</v>
      </c>
      <c r="T60" s="420" t="s">
        <v>1094</v>
      </c>
      <c r="U60" s="420" t="s">
        <v>1094</v>
      </c>
      <c r="V60" s="284">
        <f t="shared" si="6"/>
        <v>0.13780783047847139</v>
      </c>
      <c r="W60" s="420"/>
      <c r="X60" s="420"/>
      <c r="Y60" s="626">
        <v>0</v>
      </c>
      <c r="Z60" s="621">
        <v>0</v>
      </c>
      <c r="AA60" s="609">
        <v>691452</v>
      </c>
      <c r="AB60" s="261">
        <f t="shared" si="7"/>
        <v>15.873553719008264</v>
      </c>
      <c r="AC60" s="261">
        <f t="shared" si="8"/>
        <v>253.97685950413222</v>
      </c>
      <c r="AD60" s="609"/>
      <c r="AE60" s="597" t="s">
        <v>292</v>
      </c>
      <c r="AF60" s="420">
        <v>0</v>
      </c>
      <c r="AG60" s="597" t="s">
        <v>1042</v>
      </c>
      <c r="AH60" s="597"/>
    </row>
    <row r="61" spans="1:34" s="489" customFormat="1">
      <c r="A61" s="242" t="s">
        <v>1089</v>
      </c>
      <c r="B61" s="607" t="s">
        <v>11272</v>
      </c>
      <c r="C61" s="608" t="s">
        <v>9556</v>
      </c>
      <c r="D61" s="420" t="s">
        <v>883</v>
      </c>
      <c r="E61" s="420" t="s">
        <v>1094</v>
      </c>
      <c r="F61" s="420" t="s">
        <v>883</v>
      </c>
      <c r="G61" s="420" t="s">
        <v>883</v>
      </c>
      <c r="H61" s="420" t="s">
        <v>883</v>
      </c>
      <c r="I61" s="420" t="s">
        <v>883</v>
      </c>
      <c r="J61" s="420" t="s">
        <v>1094</v>
      </c>
      <c r="K61" s="278">
        <f t="shared" si="5"/>
        <v>0.13999999999999999</v>
      </c>
      <c r="L61" s="420" t="s">
        <v>1094</v>
      </c>
      <c r="M61" s="420" t="s">
        <v>1094</v>
      </c>
      <c r="N61" s="420" t="s">
        <v>1094</v>
      </c>
      <c r="O61" s="420" t="s">
        <v>1094</v>
      </c>
      <c r="P61" s="420" t="s">
        <v>1094</v>
      </c>
      <c r="Q61" s="420" t="s">
        <v>1094</v>
      </c>
      <c r="R61" s="420" t="s">
        <v>1094</v>
      </c>
      <c r="S61" s="420" t="s">
        <v>1094</v>
      </c>
      <c r="T61" s="420" t="s">
        <v>1094</v>
      </c>
      <c r="U61" s="420" t="s">
        <v>1094</v>
      </c>
      <c r="V61" s="284">
        <f t="shared" si="6"/>
        <v>15881.250000000002</v>
      </c>
      <c r="W61" s="420"/>
      <c r="X61" s="420"/>
      <c r="Y61" s="626">
        <f>Z61/16</f>
        <v>0.84</v>
      </c>
      <c r="Z61" s="621">
        <v>13.44</v>
      </c>
      <c r="AA61" s="609">
        <v>6</v>
      </c>
      <c r="AB61" s="261">
        <f t="shared" si="7"/>
        <v>1.3774104683195591E-4</v>
      </c>
      <c r="AC61" s="261">
        <f t="shared" si="8"/>
        <v>2.2038567493112946E-3</v>
      </c>
      <c r="AD61" s="609"/>
      <c r="AE61" s="597" t="s">
        <v>290</v>
      </c>
      <c r="AF61" s="420">
        <v>5</v>
      </c>
      <c r="AG61" s="281" t="s">
        <v>1045</v>
      </c>
      <c r="AH61" s="280"/>
    </row>
    <row r="62" spans="1:34" s="489" customFormat="1">
      <c r="A62" s="242" t="s">
        <v>1089</v>
      </c>
      <c r="B62" s="607" t="s">
        <v>11273</v>
      </c>
      <c r="C62" s="608" t="s">
        <v>9543</v>
      </c>
      <c r="D62" s="420" t="s">
        <v>883</v>
      </c>
      <c r="E62" s="420" t="s">
        <v>1094</v>
      </c>
      <c r="F62" s="420" t="s">
        <v>883</v>
      </c>
      <c r="G62" s="420" t="s">
        <v>883</v>
      </c>
      <c r="H62" s="420" t="s">
        <v>1094</v>
      </c>
      <c r="I62" s="420" t="s">
        <v>883</v>
      </c>
      <c r="J62" s="420" t="s">
        <v>1094</v>
      </c>
      <c r="K62" s="278">
        <f t="shared" si="5"/>
        <v>0.31093749999999998</v>
      </c>
      <c r="L62" s="420" t="s">
        <v>883</v>
      </c>
      <c r="M62" s="420" t="s">
        <v>883</v>
      </c>
      <c r="N62" s="420" t="s">
        <v>883</v>
      </c>
      <c r="O62" s="420" t="s">
        <v>883</v>
      </c>
      <c r="P62" s="420" t="s">
        <v>883</v>
      </c>
      <c r="Q62" s="420" t="s">
        <v>883</v>
      </c>
      <c r="R62" s="420" t="s">
        <v>883</v>
      </c>
      <c r="S62" s="420" t="s">
        <v>1094</v>
      </c>
      <c r="T62" s="420" t="s">
        <v>883</v>
      </c>
      <c r="U62" s="420" t="s">
        <v>883</v>
      </c>
      <c r="V62" s="284">
        <f t="shared" si="6"/>
        <v>47643.75</v>
      </c>
      <c r="W62" s="420"/>
      <c r="X62" s="420"/>
      <c r="Y62" s="626">
        <f>Z62/16</f>
        <v>0.62187499999999996</v>
      </c>
      <c r="Z62" s="621">
        <v>9.9499999999999993</v>
      </c>
      <c r="AA62" s="609">
        <v>2</v>
      </c>
      <c r="AB62" s="261">
        <f t="shared" si="7"/>
        <v>4.5913682277318639E-5</v>
      </c>
      <c r="AC62" s="261">
        <f t="shared" si="8"/>
        <v>7.3461891643709823E-4</v>
      </c>
      <c r="AD62" s="609"/>
      <c r="AE62" s="597" t="s">
        <v>290</v>
      </c>
      <c r="AF62" s="420">
        <v>8</v>
      </c>
      <c r="AG62" s="281" t="s">
        <v>1045</v>
      </c>
      <c r="AH62" s="280"/>
    </row>
    <row r="63" spans="1:34" s="489" customFormat="1">
      <c r="A63" s="242" t="s">
        <v>1089</v>
      </c>
      <c r="B63" s="281" t="s">
        <v>1312</v>
      </c>
      <c r="C63" s="594" t="s">
        <v>838</v>
      </c>
      <c r="D63" s="420" t="s">
        <v>1094</v>
      </c>
      <c r="E63" s="420" t="s">
        <v>1094</v>
      </c>
      <c r="F63" s="420" t="s">
        <v>883</v>
      </c>
      <c r="G63" s="420" t="s">
        <v>1094</v>
      </c>
      <c r="H63" s="420" t="s">
        <v>1094</v>
      </c>
      <c r="I63" s="420" t="s">
        <v>883</v>
      </c>
      <c r="J63" s="420" t="s">
        <v>1094</v>
      </c>
      <c r="K63" s="278">
        <f t="shared" si="5"/>
        <v>2.8571428571428574E-4</v>
      </c>
      <c r="L63" s="278" t="s">
        <v>883</v>
      </c>
      <c r="M63" s="278" t="s">
        <v>883</v>
      </c>
      <c r="N63" s="278" t="s">
        <v>883</v>
      </c>
      <c r="O63" s="278" t="s">
        <v>883</v>
      </c>
      <c r="P63" s="278" t="s">
        <v>883</v>
      </c>
      <c r="Q63" s="278" t="s">
        <v>883</v>
      </c>
      <c r="R63" s="278" t="s">
        <v>1094</v>
      </c>
      <c r="S63" s="278" t="s">
        <v>1094</v>
      </c>
      <c r="T63" s="278" t="s">
        <v>1094</v>
      </c>
      <c r="U63" s="278" t="s">
        <v>883</v>
      </c>
      <c r="V63" s="284">
        <f t="shared" si="6"/>
        <v>0.68062500000000004</v>
      </c>
      <c r="W63" s="279"/>
      <c r="X63" s="279"/>
      <c r="Y63" s="604">
        <f t="shared" ref="Y63:Y69" si="9">SUM(Z63/16)</f>
        <v>40</v>
      </c>
      <c r="Z63" s="622">
        <v>640</v>
      </c>
      <c r="AA63" s="289">
        <v>140000</v>
      </c>
      <c r="AB63" s="261">
        <f t="shared" si="7"/>
        <v>3.2139577594123048</v>
      </c>
      <c r="AC63" s="261">
        <f t="shared" si="8"/>
        <v>51.423324150596876</v>
      </c>
      <c r="AD63" s="297"/>
      <c r="AE63" s="593" t="s">
        <v>294</v>
      </c>
      <c r="AF63" s="341">
        <v>7</v>
      </c>
      <c r="AG63" s="297" t="s">
        <v>1042</v>
      </c>
      <c r="AH63" s="280" t="s">
        <v>1025</v>
      </c>
    </row>
    <row r="64" spans="1:34" s="489" customFormat="1">
      <c r="A64" s="242" t="s">
        <v>1089</v>
      </c>
      <c r="B64" s="297" t="s">
        <v>847</v>
      </c>
      <c r="C64" s="594" t="s">
        <v>268</v>
      </c>
      <c r="D64" s="420" t="s">
        <v>883</v>
      </c>
      <c r="E64" s="420" t="s">
        <v>883</v>
      </c>
      <c r="F64" s="420" t="s">
        <v>1094</v>
      </c>
      <c r="G64" s="420" t="s">
        <v>1094</v>
      </c>
      <c r="H64" s="420" t="s">
        <v>1094</v>
      </c>
      <c r="I64" s="420" t="s">
        <v>1094</v>
      </c>
      <c r="J64" s="420" t="s">
        <v>1094</v>
      </c>
      <c r="K64" s="278">
        <f t="shared" si="5"/>
        <v>3.2181571815718159E-3</v>
      </c>
      <c r="L64" s="278" t="s">
        <v>1094</v>
      </c>
      <c r="M64" s="278" t="s">
        <v>1094</v>
      </c>
      <c r="N64" s="278" t="s">
        <v>1094</v>
      </c>
      <c r="O64" s="278" t="s">
        <v>1094</v>
      </c>
      <c r="P64" s="278" t="s">
        <v>1094</v>
      </c>
      <c r="Q64" s="278" t="s">
        <v>1094</v>
      </c>
      <c r="R64" s="278" t="s">
        <v>1094</v>
      </c>
      <c r="S64" s="278" t="s">
        <v>1094</v>
      </c>
      <c r="T64" s="278" t="s">
        <v>1094</v>
      </c>
      <c r="U64" s="278" t="s">
        <v>1094</v>
      </c>
      <c r="V64" s="284">
        <f t="shared" si="6"/>
        <v>129.11585365853659</v>
      </c>
      <c r="W64" s="279"/>
      <c r="X64" s="279"/>
      <c r="Y64" s="604">
        <f t="shared" si="9"/>
        <v>2.375</v>
      </c>
      <c r="Z64" s="622">
        <v>38</v>
      </c>
      <c r="AA64" s="289">
        <v>738</v>
      </c>
      <c r="AB64" s="261">
        <f t="shared" si="7"/>
        <v>1.6942148760330577E-2</v>
      </c>
      <c r="AC64" s="261">
        <f t="shared" si="8"/>
        <v>0.27107438016528923</v>
      </c>
      <c r="AD64" s="297"/>
      <c r="AE64" s="593" t="s">
        <v>292</v>
      </c>
      <c r="AF64" s="341">
        <v>6</v>
      </c>
      <c r="AG64" s="297" t="s">
        <v>1042</v>
      </c>
      <c r="AH64" s="280" t="s">
        <v>1010</v>
      </c>
    </row>
    <row r="65" spans="1:34" s="489" customFormat="1">
      <c r="A65" s="337" t="s">
        <v>1089</v>
      </c>
      <c r="B65" s="607" t="s">
        <v>11274</v>
      </c>
      <c r="C65" s="608" t="s">
        <v>9384</v>
      </c>
      <c r="D65" s="420" t="s">
        <v>883</v>
      </c>
      <c r="E65" s="420" t="s">
        <v>1094</v>
      </c>
      <c r="F65" s="420" t="s">
        <v>1094</v>
      </c>
      <c r="G65" s="420" t="s">
        <v>883</v>
      </c>
      <c r="H65" s="420" t="s">
        <v>883</v>
      </c>
      <c r="I65" s="420" t="s">
        <v>883</v>
      </c>
      <c r="J65" s="420" t="s">
        <v>1094</v>
      </c>
      <c r="K65" s="278">
        <f t="shared" si="5"/>
        <v>4.0501237623762378E-2</v>
      </c>
      <c r="L65" s="420" t="s">
        <v>1094</v>
      </c>
      <c r="M65" s="420" t="s">
        <v>1094</v>
      </c>
      <c r="N65" s="420" t="s">
        <v>1094</v>
      </c>
      <c r="O65" s="420" t="s">
        <v>1094</v>
      </c>
      <c r="P65" s="420" t="s">
        <v>1094</v>
      </c>
      <c r="Q65" s="420" t="s">
        <v>1094</v>
      </c>
      <c r="R65" s="420" t="s">
        <v>1094</v>
      </c>
      <c r="S65" s="420" t="s">
        <v>1094</v>
      </c>
      <c r="T65" s="420" t="s">
        <v>1094</v>
      </c>
      <c r="U65" s="420" t="s">
        <v>1094</v>
      </c>
      <c r="V65" s="284">
        <f t="shared" si="6"/>
        <v>943.44059405940595</v>
      </c>
      <c r="W65" s="420"/>
      <c r="X65" s="420"/>
      <c r="Y65" s="604">
        <f t="shared" si="9"/>
        <v>4.0906250000000002</v>
      </c>
      <c r="Z65" s="622">
        <v>65.45</v>
      </c>
      <c r="AA65" s="609">
        <v>101</v>
      </c>
      <c r="AB65" s="261">
        <f t="shared" si="7"/>
        <v>2.3186409550045913E-3</v>
      </c>
      <c r="AC65" s="261">
        <f t="shared" si="8"/>
        <v>3.7098255280073461E-2</v>
      </c>
      <c r="AD65" s="609"/>
      <c r="AE65" s="597" t="s">
        <v>290</v>
      </c>
      <c r="AF65" s="420">
        <v>1</v>
      </c>
      <c r="AG65" s="281" t="s">
        <v>1045</v>
      </c>
      <c r="AH65" s="280"/>
    </row>
    <row r="66" spans="1:34" s="596" customFormat="1">
      <c r="A66" s="242" t="s">
        <v>1089</v>
      </c>
      <c r="B66" s="297" t="s">
        <v>586</v>
      </c>
      <c r="C66" s="594" t="s">
        <v>588</v>
      </c>
      <c r="D66" s="420" t="s">
        <v>1094</v>
      </c>
      <c r="E66" s="420" t="s">
        <v>883</v>
      </c>
      <c r="F66" s="420" t="s">
        <v>883</v>
      </c>
      <c r="G66" s="420" t="s">
        <v>1094</v>
      </c>
      <c r="H66" s="420" t="s">
        <v>883</v>
      </c>
      <c r="I66" s="420" t="s">
        <v>883</v>
      </c>
      <c r="J66" s="420" t="s">
        <v>883</v>
      </c>
      <c r="K66" s="278">
        <f t="shared" si="5"/>
        <v>1.5625000000000001E-3</v>
      </c>
      <c r="L66" s="278" t="s">
        <v>883</v>
      </c>
      <c r="M66" s="278" t="s">
        <v>883</v>
      </c>
      <c r="N66" s="278" t="s">
        <v>883</v>
      </c>
      <c r="O66" s="278" t="s">
        <v>883</v>
      </c>
      <c r="P66" s="278" t="s">
        <v>883</v>
      </c>
      <c r="Q66" s="278" t="s">
        <v>1094</v>
      </c>
      <c r="R66" s="278" t="s">
        <v>883</v>
      </c>
      <c r="S66" s="278" t="s">
        <v>883</v>
      </c>
      <c r="T66" s="278" t="s">
        <v>1094</v>
      </c>
      <c r="U66" s="278" t="s">
        <v>1094</v>
      </c>
      <c r="V66" s="284">
        <f t="shared" si="6"/>
        <v>52.9375</v>
      </c>
      <c r="W66" s="279"/>
      <c r="X66" s="279"/>
      <c r="Y66" s="604">
        <f t="shared" si="9"/>
        <v>2.8125</v>
      </c>
      <c r="Z66" s="622">
        <v>45</v>
      </c>
      <c r="AA66" s="289">
        <v>1800</v>
      </c>
      <c r="AB66" s="261">
        <f t="shared" si="7"/>
        <v>4.1322314049586778E-2</v>
      </c>
      <c r="AC66" s="261">
        <f t="shared" si="8"/>
        <v>0.66115702479338845</v>
      </c>
      <c r="AD66" s="297"/>
      <c r="AE66" s="593" t="s">
        <v>292</v>
      </c>
      <c r="AF66" s="341">
        <v>10</v>
      </c>
      <c r="AG66" s="297" t="s">
        <v>1043</v>
      </c>
      <c r="AH66" s="280" t="s">
        <v>1019</v>
      </c>
    </row>
    <row r="67" spans="1:34" s="596" customFormat="1">
      <c r="A67" s="242" t="s">
        <v>1089</v>
      </c>
      <c r="B67" s="297" t="s">
        <v>839</v>
      </c>
      <c r="C67" s="594" t="s">
        <v>827</v>
      </c>
      <c r="D67" s="420" t="s">
        <v>883</v>
      </c>
      <c r="E67" s="420" t="s">
        <v>1094</v>
      </c>
      <c r="F67" s="420" t="s">
        <v>883</v>
      </c>
      <c r="G67" s="420" t="s">
        <v>883</v>
      </c>
      <c r="H67" s="420" t="s">
        <v>883</v>
      </c>
      <c r="I67" s="420" t="s">
        <v>883</v>
      </c>
      <c r="J67" s="420" t="s">
        <v>1094</v>
      </c>
      <c r="K67" s="278">
        <f t="shared" si="5"/>
        <v>1.3635416666666667E-2</v>
      </c>
      <c r="L67" s="278" t="s">
        <v>883</v>
      </c>
      <c r="M67" s="278" t="s">
        <v>883</v>
      </c>
      <c r="N67" s="278" t="s">
        <v>1094</v>
      </c>
      <c r="O67" s="278" t="s">
        <v>883</v>
      </c>
      <c r="P67" s="278" t="s">
        <v>1094</v>
      </c>
      <c r="Q67" s="278" t="s">
        <v>883</v>
      </c>
      <c r="R67" s="278" t="s">
        <v>883</v>
      </c>
      <c r="S67" s="278" t="s">
        <v>1094</v>
      </c>
      <c r="T67" s="278" t="s">
        <v>883</v>
      </c>
      <c r="U67" s="278" t="s">
        <v>883</v>
      </c>
      <c r="V67" s="284">
        <f t="shared" si="6"/>
        <v>317.625</v>
      </c>
      <c r="W67" s="279"/>
      <c r="X67" s="279"/>
      <c r="Y67" s="604">
        <f t="shared" si="9"/>
        <v>4.0906250000000002</v>
      </c>
      <c r="Z67" s="622">
        <v>65.45</v>
      </c>
      <c r="AA67" s="289">
        <v>300</v>
      </c>
      <c r="AB67" s="261">
        <f t="shared" si="7"/>
        <v>6.8870523415977963E-3</v>
      </c>
      <c r="AC67" s="261">
        <f t="shared" si="8"/>
        <v>0.11019283746556474</v>
      </c>
      <c r="AD67" s="297"/>
      <c r="AE67" s="593" t="s">
        <v>290</v>
      </c>
      <c r="AF67" s="341">
        <v>5</v>
      </c>
      <c r="AG67" s="297" t="s">
        <v>1045</v>
      </c>
      <c r="AH67" s="280" t="s">
        <v>1018</v>
      </c>
    </row>
    <row r="68" spans="1:34" s="596" customFormat="1">
      <c r="A68" s="242" t="s">
        <v>1089</v>
      </c>
      <c r="B68" s="297" t="s">
        <v>578</v>
      </c>
      <c r="C68" s="594" t="s">
        <v>565</v>
      </c>
      <c r="D68" s="420" t="s">
        <v>883</v>
      </c>
      <c r="E68" s="420" t="s">
        <v>883</v>
      </c>
      <c r="F68" s="420" t="s">
        <v>1094</v>
      </c>
      <c r="G68" s="420" t="s">
        <v>1094</v>
      </c>
      <c r="H68" s="420" t="s">
        <v>1094</v>
      </c>
      <c r="I68" s="420" t="s">
        <v>1094</v>
      </c>
      <c r="J68" s="420" t="s">
        <v>883</v>
      </c>
      <c r="K68" s="278">
        <f t="shared" ref="K68:K77" si="10">Y68/AA68</f>
        <v>5.859375E-3</v>
      </c>
      <c r="L68" s="278" t="s">
        <v>883</v>
      </c>
      <c r="M68" s="278" t="s">
        <v>883</v>
      </c>
      <c r="N68" s="278" t="s">
        <v>883</v>
      </c>
      <c r="O68" s="278" t="s">
        <v>883</v>
      </c>
      <c r="P68" s="278" t="s">
        <v>883</v>
      </c>
      <c r="Q68" s="278" t="s">
        <v>883</v>
      </c>
      <c r="R68" s="278" t="s">
        <v>883</v>
      </c>
      <c r="S68" s="278" t="s">
        <v>883</v>
      </c>
      <c r="T68" s="278" t="s">
        <v>1094</v>
      </c>
      <c r="U68" s="278" t="s">
        <v>883</v>
      </c>
      <c r="V68" s="284">
        <f t="shared" ref="V68:V77" si="11">35/AC68</f>
        <v>59.5546875</v>
      </c>
      <c r="W68" s="279"/>
      <c r="X68" s="279"/>
      <c r="Y68" s="604">
        <f t="shared" si="9"/>
        <v>9.375</v>
      </c>
      <c r="Z68" s="622">
        <v>150</v>
      </c>
      <c r="AA68" s="289">
        <v>1600</v>
      </c>
      <c r="AB68" s="261">
        <f t="shared" ref="AB68:AB77" si="12">AA68/43560</f>
        <v>3.6730945821854911E-2</v>
      </c>
      <c r="AC68" s="261">
        <f t="shared" ref="AC68:AC77" si="13">AB68*16</f>
        <v>0.58769513314967858</v>
      </c>
      <c r="AD68" s="297"/>
      <c r="AE68" s="593" t="s">
        <v>863</v>
      </c>
      <c r="AF68" s="341">
        <v>7</v>
      </c>
      <c r="AG68" s="297" t="s">
        <v>1043</v>
      </c>
      <c r="AH68" s="280" t="s">
        <v>1021</v>
      </c>
    </row>
    <row r="69" spans="1:34" s="596" customFormat="1">
      <c r="A69" s="242" t="s">
        <v>1089</v>
      </c>
      <c r="B69" s="297" t="s">
        <v>573</v>
      </c>
      <c r="C69" s="594" t="s">
        <v>560</v>
      </c>
      <c r="D69" s="420" t="s">
        <v>883</v>
      </c>
      <c r="E69" s="420" t="s">
        <v>1094</v>
      </c>
      <c r="F69" s="420" t="s">
        <v>1094</v>
      </c>
      <c r="G69" s="420" t="s">
        <v>1094</v>
      </c>
      <c r="H69" s="420" t="s">
        <v>1094</v>
      </c>
      <c r="I69" s="420" t="s">
        <v>1094</v>
      </c>
      <c r="J69" s="420" t="s">
        <v>1094</v>
      </c>
      <c r="K69" s="278">
        <f t="shared" si="10"/>
        <v>0.16026785714285713</v>
      </c>
      <c r="L69" s="278" t="s">
        <v>883</v>
      </c>
      <c r="M69" s="278" t="s">
        <v>1094</v>
      </c>
      <c r="N69" s="278" t="s">
        <v>1094</v>
      </c>
      <c r="O69" s="278" t="s">
        <v>1094</v>
      </c>
      <c r="P69" s="278" t="s">
        <v>1094</v>
      </c>
      <c r="Q69" s="278" t="s">
        <v>883</v>
      </c>
      <c r="R69" s="278" t="s">
        <v>1094</v>
      </c>
      <c r="S69" s="278" t="s">
        <v>1094</v>
      </c>
      <c r="T69" s="278" t="s">
        <v>883</v>
      </c>
      <c r="U69" s="278" t="s">
        <v>883</v>
      </c>
      <c r="V69" s="284">
        <f t="shared" si="11"/>
        <v>13612.5</v>
      </c>
      <c r="W69" s="279"/>
      <c r="X69" s="279"/>
      <c r="Y69" s="604">
        <f t="shared" si="9"/>
        <v>1.121875</v>
      </c>
      <c r="Z69" s="622">
        <v>17.95</v>
      </c>
      <c r="AA69" s="289">
        <v>7</v>
      </c>
      <c r="AB69" s="261">
        <f t="shared" si="12"/>
        <v>1.6069788797061523E-4</v>
      </c>
      <c r="AC69" s="261">
        <f t="shared" si="13"/>
        <v>2.5711662075298437E-3</v>
      </c>
      <c r="AD69" s="297"/>
      <c r="AE69" s="593" t="s">
        <v>290</v>
      </c>
      <c r="AF69" s="341">
        <v>8</v>
      </c>
      <c r="AG69" s="297" t="s">
        <v>1045</v>
      </c>
      <c r="AH69" s="280" t="s">
        <v>1018</v>
      </c>
    </row>
    <row r="70" spans="1:34" s="596" customFormat="1">
      <c r="A70" s="242" t="s">
        <v>1089</v>
      </c>
      <c r="B70" s="607" t="s">
        <v>11275</v>
      </c>
      <c r="C70" s="608" t="s">
        <v>10120</v>
      </c>
      <c r="D70" s="420" t="s">
        <v>883</v>
      </c>
      <c r="E70" s="420" t="s">
        <v>1094</v>
      </c>
      <c r="F70" s="420" t="s">
        <v>1094</v>
      </c>
      <c r="G70" s="420" t="s">
        <v>883</v>
      </c>
      <c r="H70" s="420" t="s">
        <v>1094</v>
      </c>
      <c r="I70" s="420" t="s">
        <v>883</v>
      </c>
      <c r="J70" s="420" t="s">
        <v>1094</v>
      </c>
      <c r="K70" s="278">
        <f t="shared" si="10"/>
        <v>3.5504102771051921E-4</v>
      </c>
      <c r="L70" s="420" t="s">
        <v>883</v>
      </c>
      <c r="M70" s="420" t="s">
        <v>1094</v>
      </c>
      <c r="N70" s="420" t="s">
        <v>1094</v>
      </c>
      <c r="O70" s="420" t="s">
        <v>883</v>
      </c>
      <c r="P70" s="420" t="s">
        <v>1094</v>
      </c>
      <c r="Q70" s="420" t="s">
        <v>883</v>
      </c>
      <c r="R70" s="420" t="s">
        <v>1094</v>
      </c>
      <c r="S70" s="420" t="s">
        <v>1094</v>
      </c>
      <c r="T70" s="420" t="s">
        <v>1094</v>
      </c>
      <c r="U70" s="420" t="s">
        <v>1094</v>
      </c>
      <c r="V70" s="284">
        <f t="shared" si="11"/>
        <v>12.817796610169491</v>
      </c>
      <c r="W70" s="420"/>
      <c r="X70" s="420"/>
      <c r="Y70" s="626">
        <f>Z70/16</f>
        <v>2.6393749999999998</v>
      </c>
      <c r="Z70" s="621">
        <v>42.23</v>
      </c>
      <c r="AA70" s="609">
        <v>7434</v>
      </c>
      <c r="AB70" s="261">
        <f t="shared" si="12"/>
        <v>0.1706611570247934</v>
      </c>
      <c r="AC70" s="261">
        <f t="shared" si="13"/>
        <v>2.7305785123966944</v>
      </c>
      <c r="AD70" s="609"/>
      <c r="AE70" s="597" t="s">
        <v>290</v>
      </c>
      <c r="AF70" s="420">
        <v>5</v>
      </c>
      <c r="AG70" s="281" t="s">
        <v>1045</v>
      </c>
      <c r="AH70" s="280"/>
    </row>
    <row r="71" spans="1:34" s="596" customFormat="1">
      <c r="A71" s="242" t="s">
        <v>1089</v>
      </c>
      <c r="B71" s="297" t="s">
        <v>582</v>
      </c>
      <c r="C71" s="594" t="s">
        <v>1298</v>
      </c>
      <c r="D71" s="420" t="s">
        <v>1094</v>
      </c>
      <c r="E71" s="420" t="s">
        <v>1094</v>
      </c>
      <c r="F71" s="420" t="s">
        <v>883</v>
      </c>
      <c r="G71" s="420" t="s">
        <v>883</v>
      </c>
      <c r="H71" s="420" t="s">
        <v>1094</v>
      </c>
      <c r="I71" s="420" t="s">
        <v>883</v>
      </c>
      <c r="J71" s="420" t="s">
        <v>883</v>
      </c>
      <c r="K71" s="278">
        <f t="shared" si="10"/>
        <v>0.22500000000000001</v>
      </c>
      <c r="L71" s="278" t="s">
        <v>1094</v>
      </c>
      <c r="M71" s="278" t="s">
        <v>1094</v>
      </c>
      <c r="N71" s="278" t="s">
        <v>1094</v>
      </c>
      <c r="O71" s="278" t="s">
        <v>1094</v>
      </c>
      <c r="P71" s="278" t="s">
        <v>1094</v>
      </c>
      <c r="Q71" s="278" t="s">
        <v>1094</v>
      </c>
      <c r="R71" s="278" t="s">
        <v>1094</v>
      </c>
      <c r="S71" s="278" t="s">
        <v>1094</v>
      </c>
      <c r="T71" s="278" t="s">
        <v>1094</v>
      </c>
      <c r="U71" s="278" t="s">
        <v>1094</v>
      </c>
      <c r="V71" s="284">
        <f t="shared" si="11"/>
        <v>238.21875</v>
      </c>
      <c r="W71" s="279"/>
      <c r="X71" s="279"/>
      <c r="Y71" s="604">
        <v>90</v>
      </c>
      <c r="Z71" s="622">
        <v>1440</v>
      </c>
      <c r="AA71" s="289">
        <v>400</v>
      </c>
      <c r="AB71" s="261">
        <f t="shared" si="12"/>
        <v>9.1827364554637279E-3</v>
      </c>
      <c r="AC71" s="261">
        <f t="shared" si="13"/>
        <v>0.14692378328741965</v>
      </c>
      <c r="AD71" s="297"/>
      <c r="AE71" s="593" t="s">
        <v>294</v>
      </c>
      <c r="AF71" s="341">
        <v>5</v>
      </c>
      <c r="AG71" s="297" t="s">
        <v>1049</v>
      </c>
      <c r="AH71" s="280" t="s">
        <v>1026</v>
      </c>
    </row>
    <row r="72" spans="1:34" s="596" customFormat="1">
      <c r="A72" s="242" t="s">
        <v>1089</v>
      </c>
      <c r="B72" s="297" t="s">
        <v>570</v>
      </c>
      <c r="C72" s="594" t="s">
        <v>557</v>
      </c>
      <c r="D72" s="420" t="s">
        <v>1094</v>
      </c>
      <c r="E72" s="420" t="s">
        <v>883</v>
      </c>
      <c r="F72" s="420" t="s">
        <v>883</v>
      </c>
      <c r="G72" s="420" t="s">
        <v>1094</v>
      </c>
      <c r="H72" s="420" t="s">
        <v>1094</v>
      </c>
      <c r="I72" s="420" t="s">
        <v>883</v>
      </c>
      <c r="J72" s="420" t="s">
        <v>883</v>
      </c>
      <c r="K72" s="278">
        <f t="shared" si="10"/>
        <v>5.1948051948051951E-2</v>
      </c>
      <c r="L72" s="278" t="s">
        <v>883</v>
      </c>
      <c r="M72" s="278" t="s">
        <v>883</v>
      </c>
      <c r="N72" s="278" t="s">
        <v>883</v>
      </c>
      <c r="O72" s="278" t="s">
        <v>1094</v>
      </c>
      <c r="P72" s="278" t="s">
        <v>883</v>
      </c>
      <c r="Q72" s="278" t="s">
        <v>1094</v>
      </c>
      <c r="R72" s="278" t="s">
        <v>883</v>
      </c>
      <c r="S72" s="278" t="s">
        <v>883</v>
      </c>
      <c r="T72" s="278" t="s">
        <v>883</v>
      </c>
      <c r="U72" s="278" t="s">
        <v>883</v>
      </c>
      <c r="V72" s="284">
        <f t="shared" si="11"/>
        <v>123.75</v>
      </c>
      <c r="W72" s="279"/>
      <c r="X72" s="279"/>
      <c r="Y72" s="604">
        <f>SUM(Z72/16)</f>
        <v>40</v>
      </c>
      <c r="Z72" s="622">
        <v>640</v>
      </c>
      <c r="AA72" s="289">
        <v>770</v>
      </c>
      <c r="AB72" s="261">
        <f t="shared" si="12"/>
        <v>1.7676767676767676E-2</v>
      </c>
      <c r="AC72" s="261">
        <f t="shared" si="13"/>
        <v>0.28282828282828282</v>
      </c>
      <c r="AD72" s="297"/>
      <c r="AE72" s="593" t="s">
        <v>292</v>
      </c>
      <c r="AF72" s="341">
        <v>7</v>
      </c>
      <c r="AG72" s="297" t="s">
        <v>1050</v>
      </c>
      <c r="AH72" s="280" t="s">
        <v>1027</v>
      </c>
    </row>
    <row r="73" spans="1:34" s="596" customFormat="1">
      <c r="A73" s="242" t="s">
        <v>1089</v>
      </c>
      <c r="B73" s="297" t="s">
        <v>1</v>
      </c>
      <c r="C73" s="594" t="s">
        <v>276</v>
      </c>
      <c r="D73" s="420" t="s">
        <v>883</v>
      </c>
      <c r="E73" s="420" t="s">
        <v>1094</v>
      </c>
      <c r="F73" s="420" t="s">
        <v>883</v>
      </c>
      <c r="G73" s="420" t="s">
        <v>883</v>
      </c>
      <c r="H73" s="420" t="s">
        <v>883</v>
      </c>
      <c r="I73" s="420" t="s">
        <v>883</v>
      </c>
      <c r="J73" s="420" t="s">
        <v>1094</v>
      </c>
      <c r="K73" s="278">
        <f t="shared" si="10"/>
        <v>1.171875E-3</v>
      </c>
      <c r="L73" s="278" t="s">
        <v>1094</v>
      </c>
      <c r="M73" s="278" t="s">
        <v>1094</v>
      </c>
      <c r="N73" s="278" t="s">
        <v>1094</v>
      </c>
      <c r="O73" s="278" t="s">
        <v>1094</v>
      </c>
      <c r="P73" s="278" t="s">
        <v>1094</v>
      </c>
      <c r="Q73" s="278" t="s">
        <v>1094</v>
      </c>
      <c r="R73" s="278" t="s">
        <v>1094</v>
      </c>
      <c r="S73" s="278" t="s">
        <v>1094</v>
      </c>
      <c r="T73" s="278" t="s">
        <v>1094</v>
      </c>
      <c r="U73" s="278" t="s">
        <v>1094</v>
      </c>
      <c r="V73" s="284">
        <f t="shared" si="11"/>
        <v>5.9554687500000005</v>
      </c>
      <c r="W73" s="279"/>
      <c r="X73" s="279"/>
      <c r="Y73" s="604">
        <f>SUM(Z73/16)</f>
        <v>18.75</v>
      </c>
      <c r="Z73" s="622">
        <v>300</v>
      </c>
      <c r="AA73" s="289">
        <v>16000</v>
      </c>
      <c r="AB73" s="261">
        <f t="shared" si="12"/>
        <v>0.3673094582185491</v>
      </c>
      <c r="AC73" s="261">
        <f t="shared" si="13"/>
        <v>5.8769513314967856</v>
      </c>
      <c r="AD73" s="297"/>
      <c r="AE73" s="593" t="s">
        <v>294</v>
      </c>
      <c r="AF73" s="341">
        <v>2</v>
      </c>
      <c r="AG73" s="297" t="s">
        <v>1051</v>
      </c>
      <c r="AH73" s="593" t="s">
        <v>1010</v>
      </c>
    </row>
    <row r="74" spans="1:34" s="596" customFormat="1">
      <c r="A74" s="242" t="s">
        <v>1089</v>
      </c>
      <c r="B74" s="607" t="s">
        <v>11276</v>
      </c>
      <c r="C74" s="608" t="s">
        <v>10258</v>
      </c>
      <c r="D74" s="420" t="s">
        <v>1094</v>
      </c>
      <c r="E74" s="420" t="s">
        <v>1094</v>
      </c>
      <c r="F74" s="420" t="s">
        <v>883</v>
      </c>
      <c r="G74" s="420" t="s">
        <v>883</v>
      </c>
      <c r="H74" s="420" t="s">
        <v>1094</v>
      </c>
      <c r="I74" s="420" t="s">
        <v>883</v>
      </c>
      <c r="J74" s="420" t="s">
        <v>1094</v>
      </c>
      <c r="K74" s="278">
        <f t="shared" si="10"/>
        <v>0.22437499999999999</v>
      </c>
      <c r="L74" s="420" t="s">
        <v>883</v>
      </c>
      <c r="M74" s="420" t="s">
        <v>1094</v>
      </c>
      <c r="N74" s="420" t="s">
        <v>1094</v>
      </c>
      <c r="O74" s="420" t="s">
        <v>1094</v>
      </c>
      <c r="P74" s="420" t="s">
        <v>1094</v>
      </c>
      <c r="Q74" s="420" t="s">
        <v>883</v>
      </c>
      <c r="R74" s="420" t="s">
        <v>1094</v>
      </c>
      <c r="S74" s="420" t="s">
        <v>1094</v>
      </c>
      <c r="T74" s="420" t="s">
        <v>1094</v>
      </c>
      <c r="U74" s="420" t="s">
        <v>1094</v>
      </c>
      <c r="V74" s="284">
        <f t="shared" si="11"/>
        <v>19057.5</v>
      </c>
      <c r="W74" s="420"/>
      <c r="X74" s="420"/>
      <c r="Y74" s="626">
        <f>Z74/16</f>
        <v>1.121875</v>
      </c>
      <c r="Z74" s="621">
        <v>17.95</v>
      </c>
      <c r="AA74" s="609">
        <v>5</v>
      </c>
      <c r="AB74" s="261">
        <f t="shared" si="12"/>
        <v>1.147842056932966E-4</v>
      </c>
      <c r="AC74" s="261">
        <f t="shared" si="13"/>
        <v>1.8365472910927456E-3</v>
      </c>
      <c r="AD74" s="609"/>
      <c r="AE74" s="597" t="s">
        <v>290</v>
      </c>
      <c r="AF74" s="420">
        <v>6</v>
      </c>
      <c r="AG74" s="281" t="s">
        <v>1045</v>
      </c>
      <c r="AH74" s="280"/>
    </row>
    <row r="75" spans="1:34" s="596" customFormat="1">
      <c r="A75" s="242" t="s">
        <v>1089</v>
      </c>
      <c r="B75" s="297" t="s">
        <v>555</v>
      </c>
      <c r="C75" s="594" t="s">
        <v>836</v>
      </c>
      <c r="D75" s="420" t="s">
        <v>883</v>
      </c>
      <c r="E75" s="420" t="s">
        <v>1094</v>
      </c>
      <c r="F75" s="420" t="s">
        <v>1094</v>
      </c>
      <c r="G75" s="420" t="s">
        <v>883</v>
      </c>
      <c r="H75" s="420" t="s">
        <v>883</v>
      </c>
      <c r="I75" s="420" t="s">
        <v>883</v>
      </c>
      <c r="J75" s="420" t="s">
        <v>1094</v>
      </c>
      <c r="K75" s="278">
        <f t="shared" si="10"/>
        <v>0.13020833333333334</v>
      </c>
      <c r="L75" s="278" t="s">
        <v>883</v>
      </c>
      <c r="M75" s="278" t="s">
        <v>883</v>
      </c>
      <c r="N75" s="278" t="s">
        <v>883</v>
      </c>
      <c r="O75" s="278" t="s">
        <v>883</v>
      </c>
      <c r="P75" s="278" t="s">
        <v>883</v>
      </c>
      <c r="Q75" s="278" t="s">
        <v>1094</v>
      </c>
      <c r="R75" s="278" t="s">
        <v>883</v>
      </c>
      <c r="S75" s="278" t="s">
        <v>883</v>
      </c>
      <c r="T75" s="278" t="s">
        <v>883</v>
      </c>
      <c r="U75" s="278" t="s">
        <v>883</v>
      </c>
      <c r="V75" s="284">
        <f t="shared" si="11"/>
        <v>529.375</v>
      </c>
      <c r="W75" s="279"/>
      <c r="X75" s="279"/>
      <c r="Y75" s="604">
        <f>SUM(Z75/16)</f>
        <v>23.4375</v>
      </c>
      <c r="Z75" s="622">
        <v>375</v>
      </c>
      <c r="AA75" s="289">
        <v>180</v>
      </c>
      <c r="AB75" s="261">
        <f t="shared" si="12"/>
        <v>4.1322314049586778E-3</v>
      </c>
      <c r="AC75" s="261">
        <f t="shared" si="13"/>
        <v>6.6115702479338845E-2</v>
      </c>
      <c r="AD75" s="297"/>
      <c r="AE75" s="593" t="s">
        <v>294</v>
      </c>
      <c r="AF75" s="341">
        <v>2</v>
      </c>
      <c r="AG75" s="297" t="s">
        <v>1048</v>
      </c>
      <c r="AH75" s="280" t="s">
        <v>1010</v>
      </c>
    </row>
    <row r="76" spans="1:34" s="596" customFormat="1">
      <c r="A76" s="242" t="s">
        <v>1089</v>
      </c>
      <c r="B76" s="297" t="s">
        <v>554</v>
      </c>
      <c r="C76" s="594" t="s">
        <v>835</v>
      </c>
      <c r="D76" s="420" t="s">
        <v>1094</v>
      </c>
      <c r="E76" s="420" t="s">
        <v>1094</v>
      </c>
      <c r="F76" s="420" t="s">
        <v>883</v>
      </c>
      <c r="G76" s="420" t="s">
        <v>883</v>
      </c>
      <c r="H76" s="420" t="s">
        <v>1094</v>
      </c>
      <c r="I76" s="420" t="s">
        <v>883</v>
      </c>
      <c r="J76" s="420" t="s">
        <v>1094</v>
      </c>
      <c r="K76" s="278">
        <f t="shared" si="10"/>
        <v>3.3482142857142855E-3</v>
      </c>
      <c r="L76" s="278" t="s">
        <v>883</v>
      </c>
      <c r="M76" s="278" t="s">
        <v>883</v>
      </c>
      <c r="N76" s="278" t="s">
        <v>883</v>
      </c>
      <c r="O76" s="278" t="s">
        <v>883</v>
      </c>
      <c r="P76" s="278" t="s">
        <v>883</v>
      </c>
      <c r="Q76" s="278" t="s">
        <v>1094</v>
      </c>
      <c r="R76" s="278" t="s">
        <v>883</v>
      </c>
      <c r="S76" s="278" t="s">
        <v>883</v>
      </c>
      <c r="T76" s="278" t="s">
        <v>883</v>
      </c>
      <c r="U76" s="278" t="s">
        <v>883</v>
      </c>
      <c r="V76" s="284">
        <f t="shared" si="11"/>
        <v>34.03125</v>
      </c>
      <c r="W76" s="279"/>
      <c r="X76" s="279"/>
      <c r="Y76" s="604">
        <f>SUM(Z76/16)</f>
        <v>9.375</v>
      </c>
      <c r="Z76" s="622">
        <v>150</v>
      </c>
      <c r="AA76" s="289">
        <v>2800</v>
      </c>
      <c r="AB76" s="261">
        <f t="shared" si="12"/>
        <v>6.4279155188246104E-2</v>
      </c>
      <c r="AC76" s="261">
        <f t="shared" si="13"/>
        <v>1.0284664830119377</v>
      </c>
      <c r="AD76" s="297"/>
      <c r="AE76" s="593" t="s">
        <v>863</v>
      </c>
      <c r="AF76" s="341">
        <v>5</v>
      </c>
      <c r="AG76" s="297" t="s">
        <v>1047</v>
      </c>
      <c r="AH76" s="280" t="s">
        <v>1010</v>
      </c>
    </row>
    <row r="77" spans="1:34" s="596" customFormat="1">
      <c r="A77" s="242" t="s">
        <v>1089</v>
      </c>
      <c r="B77" s="607" t="s">
        <v>11249</v>
      </c>
      <c r="C77" s="608" t="s">
        <v>11250</v>
      </c>
      <c r="D77" s="420" t="s">
        <v>883</v>
      </c>
      <c r="E77" s="420" t="s">
        <v>1094</v>
      </c>
      <c r="F77" s="420" t="s">
        <v>1094</v>
      </c>
      <c r="G77" s="420" t="s">
        <v>883</v>
      </c>
      <c r="H77" s="420" t="s">
        <v>1094</v>
      </c>
      <c r="I77" s="420" t="s">
        <v>1094</v>
      </c>
      <c r="J77" s="420" t="s">
        <v>1094</v>
      </c>
      <c r="K77" s="278">
        <f t="shared" si="10"/>
        <v>6.8981871838111298E-4</v>
      </c>
      <c r="L77" s="420" t="s">
        <v>883</v>
      </c>
      <c r="M77" s="420" t="s">
        <v>883</v>
      </c>
      <c r="N77" s="420" t="s">
        <v>1094</v>
      </c>
      <c r="O77" s="420" t="s">
        <v>1094</v>
      </c>
      <c r="P77" s="420" t="s">
        <v>1094</v>
      </c>
      <c r="Q77" s="420" t="s">
        <v>883</v>
      </c>
      <c r="R77" s="420" t="s">
        <v>883</v>
      </c>
      <c r="S77" s="420" t="s">
        <v>883</v>
      </c>
      <c r="T77" s="420" t="s">
        <v>883</v>
      </c>
      <c r="U77" s="420" t="s">
        <v>883</v>
      </c>
      <c r="V77" s="284">
        <f t="shared" si="11"/>
        <v>16.068718381112983</v>
      </c>
      <c r="W77" s="420"/>
      <c r="X77" s="420"/>
      <c r="Y77" s="626">
        <f>Z77/16</f>
        <v>4.0906250000000002</v>
      </c>
      <c r="Z77" s="621">
        <v>65.45</v>
      </c>
      <c r="AA77" s="609">
        <v>5930</v>
      </c>
      <c r="AB77" s="261">
        <f t="shared" si="12"/>
        <v>0.13613406795224978</v>
      </c>
      <c r="AC77" s="261">
        <f t="shared" si="13"/>
        <v>2.1781450872359964</v>
      </c>
      <c r="AD77" s="609"/>
      <c r="AE77" s="597" t="s">
        <v>292</v>
      </c>
      <c r="AF77" s="420">
        <v>6</v>
      </c>
      <c r="AG77" s="597" t="s">
        <v>1042</v>
      </c>
      <c r="AH77" s="597"/>
    </row>
    <row r="78" spans="1:34" s="596" customFormat="1">
      <c r="A78" s="242" t="s">
        <v>1089</v>
      </c>
      <c r="B78" s="593"/>
      <c r="C78" s="594"/>
      <c r="D78" s="420" t="s">
        <v>883</v>
      </c>
      <c r="E78" s="420" t="s">
        <v>883</v>
      </c>
      <c r="F78" s="420" t="s">
        <v>883</v>
      </c>
      <c r="G78" s="420" t="s">
        <v>883</v>
      </c>
      <c r="H78" s="420" t="s">
        <v>883</v>
      </c>
      <c r="I78" s="420" t="s">
        <v>883</v>
      </c>
      <c r="J78" s="420" t="s">
        <v>883</v>
      </c>
      <c r="K78" s="420"/>
      <c r="L78" s="416" t="s">
        <v>883</v>
      </c>
      <c r="M78" s="416" t="s">
        <v>883</v>
      </c>
      <c r="N78" s="416" t="s">
        <v>883</v>
      </c>
      <c r="O78" s="416" t="s">
        <v>883</v>
      </c>
      <c r="P78" s="416" t="s">
        <v>883</v>
      </c>
      <c r="Q78" s="416" t="s">
        <v>883</v>
      </c>
      <c r="R78" s="416" t="s">
        <v>883</v>
      </c>
      <c r="S78" s="416" t="s">
        <v>883</v>
      </c>
      <c r="T78" s="416" t="s">
        <v>883</v>
      </c>
      <c r="U78" s="416" t="s">
        <v>883</v>
      </c>
      <c r="V78" s="416"/>
      <c r="W78" s="416"/>
      <c r="X78" s="416"/>
      <c r="Y78" s="629"/>
      <c r="Z78" s="624"/>
      <c r="AA78" s="595"/>
      <c r="AB78" s="595"/>
      <c r="AC78" s="595"/>
      <c r="AD78" s="595"/>
      <c r="AE78" s="593"/>
      <c r="AF78" s="346"/>
      <c r="AG78" s="338"/>
      <c r="AH78" s="280"/>
    </row>
    <row r="79" spans="1:34" s="489" customFormat="1">
      <c r="A79" s="242" t="s">
        <v>1089</v>
      </c>
      <c r="B79" s="593"/>
      <c r="C79" s="594"/>
      <c r="D79" s="420" t="s">
        <v>883</v>
      </c>
      <c r="E79" s="420" t="s">
        <v>883</v>
      </c>
      <c r="F79" s="420" t="s">
        <v>883</v>
      </c>
      <c r="G79" s="420" t="s">
        <v>883</v>
      </c>
      <c r="H79" s="420" t="s">
        <v>883</v>
      </c>
      <c r="I79" s="420" t="s">
        <v>883</v>
      </c>
      <c r="J79" s="420" t="s">
        <v>883</v>
      </c>
      <c r="K79" s="420"/>
      <c r="L79" s="416" t="s">
        <v>883</v>
      </c>
      <c r="M79" s="416" t="s">
        <v>883</v>
      </c>
      <c r="N79" s="416" t="s">
        <v>883</v>
      </c>
      <c r="O79" s="416" t="s">
        <v>883</v>
      </c>
      <c r="P79" s="416" t="s">
        <v>883</v>
      </c>
      <c r="Q79" s="416" t="s">
        <v>883</v>
      </c>
      <c r="R79" s="416" t="s">
        <v>883</v>
      </c>
      <c r="S79" s="416" t="s">
        <v>883</v>
      </c>
      <c r="T79" s="416" t="s">
        <v>883</v>
      </c>
      <c r="U79" s="416" t="s">
        <v>883</v>
      </c>
      <c r="V79" s="416"/>
      <c r="W79" s="416"/>
      <c r="X79" s="416"/>
      <c r="Y79" s="629"/>
      <c r="Z79" s="624"/>
      <c r="AA79" s="595"/>
      <c r="AB79" s="595"/>
      <c r="AC79" s="595"/>
      <c r="AD79" s="595"/>
      <c r="AE79" s="593"/>
      <c r="AF79" s="346"/>
      <c r="AG79" s="338"/>
      <c r="AH79" s="280"/>
    </row>
    <row r="80" spans="1:34" s="13" customFormat="1">
      <c r="A80" s="231"/>
      <c r="B80" s="231"/>
      <c r="C80" s="227"/>
      <c r="D80" s="263"/>
      <c r="E80" s="263"/>
      <c r="F80" s="263"/>
      <c r="G80" s="263"/>
      <c r="H80" s="263"/>
      <c r="I80" s="263"/>
      <c r="J80" s="263"/>
      <c r="K80" s="231"/>
      <c r="L80" s="231"/>
      <c r="M80" s="231"/>
      <c r="N80" s="231"/>
      <c r="O80" s="231"/>
      <c r="P80" s="231"/>
      <c r="Q80" s="231"/>
      <c r="R80" s="231"/>
      <c r="S80" s="231"/>
      <c r="T80" s="231"/>
      <c r="U80" s="231"/>
      <c r="V80" s="231"/>
      <c r="W80" s="347"/>
      <c r="X80" s="347"/>
      <c r="Y80" s="630"/>
      <c r="Z80" s="625"/>
      <c r="AA80" s="569"/>
      <c r="AB80" s="231"/>
      <c r="AC80" s="231"/>
      <c r="AD80" s="231"/>
      <c r="AE80" s="231"/>
      <c r="AF80" s="348"/>
      <c r="AG80" s="226"/>
      <c r="AH80" s="332"/>
    </row>
    <row r="81" spans="1:34" s="13" customFormat="1">
      <c r="A81" s="231"/>
      <c r="B81" s="231"/>
      <c r="C81" s="227"/>
      <c r="D81" s="263"/>
      <c r="E81" s="263"/>
      <c r="F81" s="263"/>
      <c r="G81" s="263"/>
      <c r="H81" s="263"/>
      <c r="I81" s="263"/>
      <c r="J81" s="263"/>
      <c r="K81" s="231"/>
      <c r="L81" s="231"/>
      <c r="M81" s="231"/>
      <c r="N81" s="231"/>
      <c r="O81" s="231"/>
      <c r="P81" s="231"/>
      <c r="Q81" s="231"/>
      <c r="R81" s="231"/>
      <c r="S81" s="231"/>
      <c r="T81" s="231"/>
      <c r="U81" s="231"/>
      <c r="V81" s="231"/>
      <c r="W81" s="347"/>
      <c r="X81" s="347"/>
      <c r="Y81" s="630"/>
      <c r="Z81" s="625"/>
      <c r="AA81" s="569"/>
      <c r="AB81" s="231"/>
      <c r="AC81" s="231"/>
      <c r="AD81" s="231"/>
      <c r="AE81" s="231"/>
      <c r="AF81" s="348"/>
      <c r="AG81" s="226"/>
      <c r="AH81" s="332"/>
    </row>
    <row r="82" spans="1:34" s="13" customFormat="1">
      <c r="A82" s="231"/>
      <c r="B82" s="231"/>
      <c r="C82" s="227"/>
      <c r="D82" s="263"/>
      <c r="E82" s="263"/>
      <c r="F82" s="263"/>
      <c r="G82" s="263"/>
      <c r="H82" s="263"/>
      <c r="I82" s="263"/>
      <c r="J82" s="263"/>
      <c r="K82" s="231"/>
      <c r="L82" s="231"/>
      <c r="M82" s="231"/>
      <c r="N82" s="231"/>
      <c r="O82" s="231"/>
      <c r="P82" s="231"/>
      <c r="Q82" s="231"/>
      <c r="R82" s="231"/>
      <c r="S82" s="231"/>
      <c r="T82" s="231"/>
      <c r="U82" s="231"/>
      <c r="V82" s="231"/>
      <c r="W82" s="347"/>
      <c r="X82" s="347"/>
      <c r="Y82" s="630"/>
      <c r="Z82" s="625"/>
      <c r="AA82" s="569"/>
      <c r="AB82" s="231"/>
      <c r="AC82" s="231"/>
      <c r="AD82" s="231"/>
      <c r="AE82" s="231"/>
      <c r="AF82" s="348"/>
      <c r="AG82" s="226"/>
      <c r="AH82" s="332"/>
    </row>
    <row r="83" spans="1:34" s="13" customFormat="1" ht="38.25">
      <c r="A83" s="333" t="s">
        <v>852</v>
      </c>
      <c r="B83" s="334" t="s">
        <v>857</v>
      </c>
      <c r="C83" s="615" t="s">
        <v>885</v>
      </c>
      <c r="D83" s="232" t="s">
        <v>1091</v>
      </c>
      <c r="E83" s="232" t="s">
        <v>1092</v>
      </c>
      <c r="F83" s="232" t="s">
        <v>1093</v>
      </c>
      <c r="G83" s="235" t="s">
        <v>1095</v>
      </c>
      <c r="H83" s="235" t="s">
        <v>1096</v>
      </c>
      <c r="I83" s="235" t="s">
        <v>1097</v>
      </c>
      <c r="J83" s="235" t="s">
        <v>1099</v>
      </c>
      <c r="K83" s="335" t="s">
        <v>1297</v>
      </c>
      <c r="L83" s="235" t="s">
        <v>1101</v>
      </c>
      <c r="M83" s="235" t="s">
        <v>1012</v>
      </c>
      <c r="N83" s="235" t="s">
        <v>1100</v>
      </c>
      <c r="O83" s="235" t="s">
        <v>1007</v>
      </c>
      <c r="P83" s="235" t="s">
        <v>1005</v>
      </c>
      <c r="Q83" s="235" t="s">
        <v>1009</v>
      </c>
      <c r="R83" s="235" t="s">
        <v>146</v>
      </c>
      <c r="S83" s="235" t="s">
        <v>1008</v>
      </c>
      <c r="T83" s="235" t="s">
        <v>1006</v>
      </c>
      <c r="U83" s="235" t="s">
        <v>145</v>
      </c>
      <c r="V83" s="231"/>
      <c r="W83" s="347"/>
      <c r="X83" s="347"/>
      <c r="Y83" s="630"/>
      <c r="Z83" s="625"/>
      <c r="AA83" s="569"/>
      <c r="AB83" s="231"/>
      <c r="AC83" s="231"/>
      <c r="AD83" s="231"/>
      <c r="AE83" s="231"/>
      <c r="AF83" s="348"/>
      <c r="AG83" s="226"/>
      <c r="AH83" s="332"/>
    </row>
    <row r="84" spans="1:34" s="13" customFormat="1">
      <c r="A84" s="231"/>
      <c r="B84" s="226"/>
      <c r="C84" s="227"/>
      <c r="D84" s="229" t="str">
        <f>IF(Calculator!$A$4=1,"X","")</f>
        <v/>
      </c>
      <c r="E84" s="229" t="str">
        <f>IF(Calculator!$A$4=2,"X","")</f>
        <v/>
      </c>
      <c r="F84" s="229" t="str">
        <f>IF(Calculator!$A$4=3,"X","")</f>
        <v/>
      </c>
      <c r="G84" s="229" t="str">
        <f>IF(Calculator!$A$6=1,"X","")</f>
        <v/>
      </c>
      <c r="H84" s="229" t="str">
        <f>IF(Calculator!$A$6=2,"X","")</f>
        <v/>
      </c>
      <c r="I84" s="229" t="str">
        <f>IF(Calculator!$A$6=3,"X","")</f>
        <v/>
      </c>
      <c r="J84" s="229" t="str">
        <f>IF(Calculator!$A$6=4,"X","")</f>
        <v/>
      </c>
      <c r="K84" s="263" t="str">
        <f>IF(Calculator!$A$8=2,"&lt;.3","&gt;0")</f>
        <v>&gt;0</v>
      </c>
      <c r="L84" s="263" t="str">
        <f>IF(Calculator!$C$2="ALL","X","")</f>
        <v/>
      </c>
      <c r="M84" s="263" t="str">
        <f>IF(Calculator!$C$2="C","X","")</f>
        <v/>
      </c>
      <c r="N84" s="263" t="str">
        <f>IF(Calculator!$C$2="EC","X","")</f>
        <v/>
      </c>
      <c r="O84" s="263" t="str">
        <f>IF(Calculator!$C$2="NC","X","")</f>
        <v/>
      </c>
      <c r="P84" s="263" t="str">
        <f>IF(Calculator!$C$2="NE","X","")</f>
        <v/>
      </c>
      <c r="Q84" s="263" t="str">
        <f>IF(Calculator!$C$2="NW","X","")</f>
        <v/>
      </c>
      <c r="R84" s="263" t="str">
        <f>IF(Calculator!$C$2="SC","X","")</f>
        <v/>
      </c>
      <c r="S84" s="263" t="str">
        <f>IF(Calculator!$C$2="SE","X","")</f>
        <v/>
      </c>
      <c r="T84" s="263" t="str">
        <f>IF(Calculator!$C$2="SW","X","")</f>
        <v/>
      </c>
      <c r="U84" s="263" t="str">
        <f>IF(Calculator!$C$2="WC","X","")</f>
        <v/>
      </c>
      <c r="V84" s="231"/>
      <c r="W84" s="347"/>
      <c r="X84" s="347"/>
      <c r="Y84" s="630"/>
      <c r="Z84" s="625"/>
      <c r="AA84" s="569"/>
      <c r="AB84" s="231"/>
      <c r="AC84" s="231"/>
      <c r="AD84" s="231"/>
      <c r="AE84" s="231"/>
      <c r="AF84" s="348"/>
      <c r="AG84" s="226"/>
      <c r="AH84" s="332"/>
    </row>
    <row r="85" spans="1:34" s="13" customFormat="1">
      <c r="A85" s="231"/>
      <c r="B85" s="231"/>
      <c r="C85" s="227"/>
      <c r="D85" s="263"/>
      <c r="E85" s="263"/>
      <c r="F85" s="263"/>
      <c r="G85" s="263"/>
      <c r="H85" s="263"/>
      <c r="I85" s="263"/>
      <c r="J85" s="263"/>
      <c r="K85" s="231"/>
      <c r="L85" s="231"/>
      <c r="M85" s="231"/>
      <c r="N85" s="231"/>
      <c r="O85" s="231"/>
      <c r="P85" s="231"/>
      <c r="Q85" s="231"/>
      <c r="R85" s="231"/>
      <c r="S85" s="231"/>
      <c r="T85" s="231"/>
      <c r="U85" s="231"/>
      <c r="V85" s="231"/>
      <c r="W85" s="347"/>
      <c r="X85" s="347"/>
      <c r="Y85" s="630"/>
      <c r="Z85" s="625"/>
      <c r="AA85" s="569"/>
      <c r="AB85" s="231"/>
      <c r="AC85" s="231"/>
      <c r="AD85" s="231"/>
      <c r="AE85" s="231"/>
      <c r="AF85" s="348"/>
      <c r="AG85" s="226"/>
      <c r="AH85" s="332"/>
    </row>
    <row r="86" spans="1:34" s="13" customFormat="1" ht="38.25">
      <c r="A86" s="598" t="s">
        <v>852</v>
      </c>
      <c r="B86" s="451" t="s">
        <v>857</v>
      </c>
      <c r="C86" s="614" t="s">
        <v>885</v>
      </c>
      <c r="D86" s="270" t="s">
        <v>1091</v>
      </c>
      <c r="E86" s="270" t="s">
        <v>1092</v>
      </c>
      <c r="F86" s="270" t="s">
        <v>1093</v>
      </c>
      <c r="G86" s="238" t="s">
        <v>1095</v>
      </c>
      <c r="H86" s="238" t="s">
        <v>1096</v>
      </c>
      <c r="I86" s="238" t="s">
        <v>1097</v>
      </c>
      <c r="J86" s="238" t="s">
        <v>1099</v>
      </c>
      <c r="K86" s="376" t="s">
        <v>1297</v>
      </c>
      <c r="L86" s="238" t="s">
        <v>1101</v>
      </c>
      <c r="M86" s="238" t="s">
        <v>1012</v>
      </c>
      <c r="N86" s="238" t="s">
        <v>1100</v>
      </c>
      <c r="O86" s="238" t="s">
        <v>1007</v>
      </c>
      <c r="P86" s="238" t="s">
        <v>1005</v>
      </c>
      <c r="Q86" s="238" t="s">
        <v>1009</v>
      </c>
      <c r="R86" s="238" t="s">
        <v>146</v>
      </c>
      <c r="S86" s="238" t="s">
        <v>1008</v>
      </c>
      <c r="T86" s="238" t="s">
        <v>1006</v>
      </c>
      <c r="U86" s="238" t="s">
        <v>145</v>
      </c>
      <c r="V86" s="231"/>
      <c r="W86" s="347"/>
      <c r="X86" s="347"/>
      <c r="Y86" s="630"/>
      <c r="Z86" s="625"/>
      <c r="AA86" s="569"/>
      <c r="AB86" s="231"/>
      <c r="AC86" s="231"/>
      <c r="AD86" s="231"/>
      <c r="AE86" s="231"/>
      <c r="AF86" s="348"/>
      <c r="AG86" s="226"/>
      <c r="AH86" s="332"/>
    </row>
    <row r="87" spans="1:34" s="13" customFormat="1">
      <c r="A87" s="601" t="s">
        <v>890</v>
      </c>
      <c r="B87" s="276"/>
      <c r="C87" s="277" t="s">
        <v>883</v>
      </c>
      <c r="D87" s="242" t="s">
        <v>1094</v>
      </c>
      <c r="E87" s="242" t="s">
        <v>1094</v>
      </c>
      <c r="F87" s="242" t="s">
        <v>1094</v>
      </c>
      <c r="G87" s="242" t="s">
        <v>1094</v>
      </c>
      <c r="H87" s="242" t="s">
        <v>1094</v>
      </c>
      <c r="I87" s="242" t="s">
        <v>1094</v>
      </c>
      <c r="J87" s="242" t="s">
        <v>1094</v>
      </c>
      <c r="K87" s="242">
        <v>1.0000000000000001E-5</v>
      </c>
      <c r="L87" s="593" t="s">
        <v>883</v>
      </c>
      <c r="M87" s="242" t="s">
        <v>1094</v>
      </c>
      <c r="N87" s="242" t="s">
        <v>1094</v>
      </c>
      <c r="O87" s="242" t="s">
        <v>1094</v>
      </c>
      <c r="P87" s="242" t="s">
        <v>1094</v>
      </c>
      <c r="Q87" s="242" t="s">
        <v>1094</v>
      </c>
      <c r="R87" s="242" t="s">
        <v>1094</v>
      </c>
      <c r="S87" s="242" t="s">
        <v>1094</v>
      </c>
      <c r="T87" s="242" t="s">
        <v>1094</v>
      </c>
      <c r="U87" s="242" t="s">
        <v>1094</v>
      </c>
      <c r="V87" s="231"/>
      <c r="W87" s="347"/>
      <c r="X87" s="347"/>
      <c r="Y87" s="630"/>
      <c r="Z87" s="625"/>
      <c r="AA87" s="569"/>
      <c r="AB87" s="231"/>
      <c r="AC87" s="231"/>
      <c r="AD87" s="231"/>
      <c r="AE87" s="231"/>
      <c r="AF87" s="348"/>
      <c r="AG87" s="226"/>
      <c r="AH87" s="332"/>
    </row>
    <row r="88" spans="1:34" s="13" customFormat="1">
      <c r="A88" s="242" t="s">
        <v>1089</v>
      </c>
      <c r="B88" s="593" t="s">
        <v>585</v>
      </c>
      <c r="C88" s="594" t="s">
        <v>11238</v>
      </c>
      <c r="D88" s="337" t="s">
        <v>883</v>
      </c>
      <c r="E88" s="337" t="s">
        <v>1094</v>
      </c>
      <c r="F88" s="337" t="s">
        <v>883</v>
      </c>
      <c r="G88" s="337" t="s">
        <v>883</v>
      </c>
      <c r="H88" s="337" t="s">
        <v>1094</v>
      </c>
      <c r="I88" s="337" t="s">
        <v>883</v>
      </c>
      <c r="J88" s="337" t="s">
        <v>1094</v>
      </c>
      <c r="K88" s="278">
        <v>2.7533039647577094E-3</v>
      </c>
      <c r="L88" s="416" t="s">
        <v>883</v>
      </c>
      <c r="M88" s="416" t="s">
        <v>883</v>
      </c>
      <c r="N88" s="416" t="s">
        <v>883</v>
      </c>
      <c r="O88" s="416" t="s">
        <v>883</v>
      </c>
      <c r="P88" s="416" t="s">
        <v>1094</v>
      </c>
      <c r="Q88" s="416" t="s">
        <v>883</v>
      </c>
      <c r="R88" s="416" t="s">
        <v>883</v>
      </c>
      <c r="S88" s="416" t="s">
        <v>883</v>
      </c>
      <c r="T88" s="416" t="s">
        <v>883</v>
      </c>
      <c r="U88" s="416" t="s">
        <v>883</v>
      </c>
      <c r="V88" s="231"/>
      <c r="W88" s="347"/>
      <c r="X88" s="347"/>
      <c r="Y88" s="630"/>
      <c r="Z88" s="625"/>
      <c r="AA88" s="569"/>
      <c r="AB88" s="231"/>
      <c r="AC88" s="231"/>
      <c r="AD88" s="231"/>
      <c r="AE88" s="231"/>
      <c r="AF88" s="348"/>
      <c r="AG88" s="226"/>
      <c r="AH88" s="332"/>
    </row>
    <row r="89" spans="1:34" s="13" customFormat="1">
      <c r="A89" s="242" t="s">
        <v>1089</v>
      </c>
      <c r="B89" s="281" t="s">
        <v>585</v>
      </c>
      <c r="C89" s="594" t="s">
        <v>11008</v>
      </c>
      <c r="D89" s="337" t="s">
        <v>883</v>
      </c>
      <c r="E89" s="337" t="s">
        <v>1094</v>
      </c>
      <c r="F89" s="337" t="s">
        <v>883</v>
      </c>
      <c r="G89" s="337" t="s">
        <v>883</v>
      </c>
      <c r="H89" s="337" t="s">
        <v>1094</v>
      </c>
      <c r="I89" s="337" t="s">
        <v>883</v>
      </c>
      <c r="J89" s="337" t="s">
        <v>1094</v>
      </c>
      <c r="K89" s="278">
        <v>7.8010279001468428E-3</v>
      </c>
      <c r="L89" s="278" t="s">
        <v>883</v>
      </c>
      <c r="M89" s="278" t="s">
        <v>883</v>
      </c>
      <c r="N89" s="278" t="s">
        <v>883</v>
      </c>
      <c r="O89" s="278" t="s">
        <v>883</v>
      </c>
      <c r="P89" s="278" t="s">
        <v>1094</v>
      </c>
      <c r="Q89" s="278" t="s">
        <v>883</v>
      </c>
      <c r="R89" s="278" t="s">
        <v>883</v>
      </c>
      <c r="S89" s="278" t="s">
        <v>883</v>
      </c>
      <c r="T89" s="278" t="s">
        <v>883</v>
      </c>
      <c r="U89" s="278" t="s">
        <v>883</v>
      </c>
      <c r="V89" s="231"/>
      <c r="W89" s="347"/>
      <c r="X89" s="347"/>
      <c r="Y89" s="630"/>
      <c r="Z89" s="625"/>
      <c r="AA89" s="569"/>
      <c r="AB89" s="231"/>
      <c r="AC89" s="231"/>
      <c r="AD89" s="231"/>
      <c r="AE89" s="231"/>
      <c r="AF89" s="348"/>
      <c r="AG89" s="226"/>
      <c r="AH89" s="332"/>
    </row>
    <row r="90" spans="1:34" s="13" customFormat="1">
      <c r="A90" s="242" t="s">
        <v>1089</v>
      </c>
      <c r="B90" s="338" t="s">
        <v>553</v>
      </c>
      <c r="C90" s="594" t="s">
        <v>834</v>
      </c>
      <c r="D90" s="337" t="s">
        <v>1094</v>
      </c>
      <c r="E90" s="337" t="s">
        <v>1094</v>
      </c>
      <c r="F90" s="337" t="s">
        <v>883</v>
      </c>
      <c r="G90" s="337" t="s">
        <v>883</v>
      </c>
      <c r="H90" s="337" t="s">
        <v>1094</v>
      </c>
      <c r="I90" s="337" t="s">
        <v>883</v>
      </c>
      <c r="J90" s="337" t="s">
        <v>1094</v>
      </c>
      <c r="K90" s="278">
        <v>8.9285714285714288E-2</v>
      </c>
      <c r="L90" s="278" t="s">
        <v>1094</v>
      </c>
      <c r="M90" s="278" t="s">
        <v>1094</v>
      </c>
      <c r="N90" s="278" t="s">
        <v>1094</v>
      </c>
      <c r="O90" s="278" t="s">
        <v>1094</v>
      </c>
      <c r="P90" s="278" t="s">
        <v>1094</v>
      </c>
      <c r="Q90" s="278" t="s">
        <v>1094</v>
      </c>
      <c r="R90" s="278" t="s">
        <v>1094</v>
      </c>
      <c r="S90" s="278" t="s">
        <v>1094</v>
      </c>
      <c r="T90" s="278" t="s">
        <v>1094</v>
      </c>
      <c r="U90" s="278" t="s">
        <v>1094</v>
      </c>
      <c r="V90" s="231"/>
      <c r="W90" s="347"/>
      <c r="X90" s="347"/>
      <c r="Y90" s="630"/>
      <c r="Z90" s="625"/>
      <c r="AA90" s="569"/>
      <c r="AB90" s="231"/>
      <c r="AC90" s="231"/>
      <c r="AD90" s="231"/>
      <c r="AE90" s="231"/>
      <c r="AF90" s="348"/>
      <c r="AG90" s="226"/>
      <c r="AH90" s="332"/>
    </row>
    <row r="91" spans="1:34" s="13" customFormat="1">
      <c r="A91" s="242" t="s">
        <v>1089</v>
      </c>
      <c r="B91" s="593" t="s">
        <v>11251</v>
      </c>
      <c r="C91" s="640" t="s">
        <v>10940</v>
      </c>
      <c r="D91" s="337" t="s">
        <v>883</v>
      </c>
      <c r="E91" s="337" t="s">
        <v>1094</v>
      </c>
      <c r="F91" s="337" t="s">
        <v>883</v>
      </c>
      <c r="G91" s="337" t="s">
        <v>883</v>
      </c>
      <c r="H91" s="337" t="s">
        <v>883</v>
      </c>
      <c r="I91" s="337" t="s">
        <v>883</v>
      </c>
      <c r="J91" s="337" t="s">
        <v>1094</v>
      </c>
      <c r="K91" s="278">
        <v>7.5591960352422904E-4</v>
      </c>
      <c r="L91" s="337" t="s">
        <v>1094</v>
      </c>
      <c r="M91" s="337" t="s">
        <v>1094</v>
      </c>
      <c r="N91" s="337" t="s">
        <v>1094</v>
      </c>
      <c r="O91" s="337" t="s">
        <v>1094</v>
      </c>
      <c r="P91" s="337" t="s">
        <v>1094</v>
      </c>
      <c r="Q91" s="337" t="s">
        <v>1094</v>
      </c>
      <c r="R91" s="337" t="s">
        <v>1094</v>
      </c>
      <c r="S91" s="337" t="s">
        <v>1094</v>
      </c>
      <c r="T91" s="337" t="s">
        <v>1094</v>
      </c>
      <c r="U91" s="337" t="s">
        <v>1094</v>
      </c>
      <c r="V91" s="231"/>
      <c r="W91" s="347"/>
      <c r="X91" s="347"/>
      <c r="Y91" s="630"/>
      <c r="Z91" s="625"/>
      <c r="AA91" s="569"/>
      <c r="AB91" s="231"/>
      <c r="AC91" s="231"/>
      <c r="AD91" s="231"/>
      <c r="AE91" s="231"/>
      <c r="AF91" s="348"/>
      <c r="AG91" s="226"/>
      <c r="AH91" s="332"/>
    </row>
    <row r="92" spans="1:34" s="13" customFormat="1">
      <c r="A92" s="242" t="s">
        <v>1089</v>
      </c>
      <c r="B92" s="338" t="s">
        <v>583</v>
      </c>
      <c r="C92" s="594" t="s">
        <v>569</v>
      </c>
      <c r="D92" s="337" t="s">
        <v>1094</v>
      </c>
      <c r="E92" s="337" t="s">
        <v>1094</v>
      </c>
      <c r="F92" s="337" t="s">
        <v>883</v>
      </c>
      <c r="G92" s="337" t="s">
        <v>883</v>
      </c>
      <c r="H92" s="337" t="s">
        <v>1094</v>
      </c>
      <c r="I92" s="337" t="s">
        <v>883</v>
      </c>
      <c r="J92" s="337" t="s">
        <v>1094</v>
      </c>
      <c r="K92" s="278">
        <v>1.5560165975103733E-3</v>
      </c>
      <c r="L92" s="278" t="s">
        <v>883</v>
      </c>
      <c r="M92" s="278" t="s">
        <v>883</v>
      </c>
      <c r="N92" s="278" t="s">
        <v>883</v>
      </c>
      <c r="O92" s="278" t="s">
        <v>883</v>
      </c>
      <c r="P92" s="278" t="s">
        <v>883</v>
      </c>
      <c r="Q92" s="278" t="s">
        <v>883</v>
      </c>
      <c r="R92" s="278" t="s">
        <v>883</v>
      </c>
      <c r="S92" s="278" t="s">
        <v>883</v>
      </c>
      <c r="T92" s="278" t="s">
        <v>1094</v>
      </c>
      <c r="U92" s="278" t="s">
        <v>883</v>
      </c>
      <c r="V92" s="231"/>
      <c r="W92" s="347"/>
      <c r="X92" s="347"/>
      <c r="Y92" s="630"/>
      <c r="Z92" s="625"/>
      <c r="AA92" s="569"/>
      <c r="AB92" s="231"/>
      <c r="AC92" s="231"/>
      <c r="AD92" s="231"/>
      <c r="AE92" s="231"/>
      <c r="AF92" s="348"/>
      <c r="AG92" s="226"/>
      <c r="AH92" s="332"/>
    </row>
    <row r="93" spans="1:34" s="13" customFormat="1">
      <c r="A93" s="242" t="s">
        <v>1089</v>
      </c>
      <c r="B93" s="641" t="s">
        <v>11252</v>
      </c>
      <c r="C93" s="640" t="s">
        <v>10171</v>
      </c>
      <c r="D93" s="337" t="s">
        <v>1094</v>
      </c>
      <c r="E93" s="337" t="s">
        <v>1094</v>
      </c>
      <c r="F93" s="337" t="s">
        <v>883</v>
      </c>
      <c r="G93" s="337" t="s">
        <v>883</v>
      </c>
      <c r="H93" s="337" t="s">
        <v>883</v>
      </c>
      <c r="I93" s="337" t="s">
        <v>883</v>
      </c>
      <c r="J93" s="337" t="s">
        <v>1094</v>
      </c>
      <c r="K93" s="278">
        <v>2.8942731277533041E-6</v>
      </c>
      <c r="L93" s="337" t="s">
        <v>883</v>
      </c>
      <c r="M93" s="337" t="s">
        <v>883</v>
      </c>
      <c r="N93" s="337" t="s">
        <v>1094</v>
      </c>
      <c r="O93" s="337" t="s">
        <v>1094</v>
      </c>
      <c r="P93" s="337" t="s">
        <v>1094</v>
      </c>
      <c r="Q93" s="337" t="s">
        <v>883</v>
      </c>
      <c r="R93" s="337" t="s">
        <v>883</v>
      </c>
      <c r="S93" s="337" t="s">
        <v>1094</v>
      </c>
      <c r="T93" s="337" t="s">
        <v>883</v>
      </c>
      <c r="U93" s="337" t="s">
        <v>883</v>
      </c>
      <c r="V93" s="231"/>
      <c r="W93" s="347"/>
      <c r="X93" s="347"/>
      <c r="Y93" s="630"/>
      <c r="Z93" s="625"/>
      <c r="AA93" s="569"/>
      <c r="AB93" s="231"/>
      <c r="AC93" s="231"/>
      <c r="AD93" s="231"/>
      <c r="AE93" s="231"/>
      <c r="AF93" s="348"/>
      <c r="AG93" s="226"/>
      <c r="AH93" s="332"/>
    </row>
    <row r="94" spans="1:34" s="13" customFormat="1">
      <c r="A94" s="242" t="s">
        <v>1089</v>
      </c>
      <c r="B94" s="593" t="s">
        <v>11253</v>
      </c>
      <c r="C94" s="640" t="s">
        <v>9534</v>
      </c>
      <c r="D94" s="337" t="s">
        <v>1094</v>
      </c>
      <c r="E94" s="337" t="s">
        <v>1094</v>
      </c>
      <c r="F94" s="337" t="s">
        <v>883</v>
      </c>
      <c r="G94" s="337" t="s">
        <v>883</v>
      </c>
      <c r="H94" s="337" t="s">
        <v>883</v>
      </c>
      <c r="I94" s="337" t="s">
        <v>883</v>
      </c>
      <c r="J94" s="337" t="s">
        <v>1094</v>
      </c>
      <c r="K94" s="278">
        <v>0.18062499999999998</v>
      </c>
      <c r="L94" s="337" t="s">
        <v>1094</v>
      </c>
      <c r="M94" s="337" t="s">
        <v>1094</v>
      </c>
      <c r="N94" s="337" t="s">
        <v>1094</v>
      </c>
      <c r="O94" s="337" t="s">
        <v>1094</v>
      </c>
      <c r="P94" s="337" t="s">
        <v>1094</v>
      </c>
      <c r="Q94" s="337" t="s">
        <v>1094</v>
      </c>
      <c r="R94" s="337" t="s">
        <v>1094</v>
      </c>
      <c r="S94" s="337" t="s">
        <v>1094</v>
      </c>
      <c r="T94" s="337" t="s">
        <v>1094</v>
      </c>
      <c r="U94" s="337" t="s">
        <v>1094</v>
      </c>
      <c r="V94" s="231"/>
      <c r="W94" s="347"/>
      <c r="X94" s="347"/>
      <c r="Y94" s="630"/>
      <c r="Z94" s="625"/>
      <c r="AA94" s="569"/>
      <c r="AB94" s="231"/>
      <c r="AC94" s="231"/>
      <c r="AD94" s="231"/>
      <c r="AE94" s="231"/>
      <c r="AF94" s="348"/>
      <c r="AG94" s="226"/>
      <c r="AH94" s="332"/>
    </row>
    <row r="95" spans="1:34" s="13" customFormat="1">
      <c r="A95" s="242" t="s">
        <v>1089</v>
      </c>
      <c r="B95" s="338" t="s">
        <v>849</v>
      </c>
      <c r="C95" s="594" t="s">
        <v>848</v>
      </c>
      <c r="D95" s="337" t="s">
        <v>1094</v>
      </c>
      <c r="E95" s="337" t="s">
        <v>1094</v>
      </c>
      <c r="F95" s="337" t="s">
        <v>883</v>
      </c>
      <c r="G95" s="337" t="s">
        <v>883</v>
      </c>
      <c r="H95" s="337" t="s">
        <v>883</v>
      </c>
      <c r="I95" s="337" t="s">
        <v>883</v>
      </c>
      <c r="J95" s="337" t="s">
        <v>1094</v>
      </c>
      <c r="K95" s="278">
        <v>1.0416666666666666E-2</v>
      </c>
      <c r="L95" s="278" t="s">
        <v>1094</v>
      </c>
      <c r="M95" s="278" t="s">
        <v>1094</v>
      </c>
      <c r="N95" s="278" t="s">
        <v>1094</v>
      </c>
      <c r="O95" s="278" t="s">
        <v>1094</v>
      </c>
      <c r="P95" s="278" t="s">
        <v>1094</v>
      </c>
      <c r="Q95" s="278" t="s">
        <v>1094</v>
      </c>
      <c r="R95" s="278" t="s">
        <v>1094</v>
      </c>
      <c r="S95" s="278" t="s">
        <v>1094</v>
      </c>
      <c r="T95" s="278" t="s">
        <v>1094</v>
      </c>
      <c r="U95" s="278" t="s">
        <v>1094</v>
      </c>
      <c r="V95" s="231"/>
      <c r="W95" s="347"/>
      <c r="X95" s="347"/>
      <c r="Y95" s="630"/>
      <c r="Z95" s="625"/>
      <c r="AA95" s="569"/>
      <c r="AB95" s="231"/>
      <c r="AC95" s="231"/>
      <c r="AD95" s="231"/>
      <c r="AE95" s="231"/>
      <c r="AF95" s="348"/>
      <c r="AG95" s="226"/>
      <c r="AH95" s="332"/>
    </row>
    <row r="96" spans="1:34" s="13" customFormat="1">
      <c r="A96" s="242" t="s">
        <v>1089</v>
      </c>
      <c r="B96" s="593" t="s">
        <v>11254</v>
      </c>
      <c r="C96" s="640" t="s">
        <v>11264</v>
      </c>
      <c r="D96" s="337" t="s">
        <v>1094</v>
      </c>
      <c r="E96" s="337" t="s">
        <v>1094</v>
      </c>
      <c r="F96" s="337" t="s">
        <v>883</v>
      </c>
      <c r="G96" s="337" t="s">
        <v>883</v>
      </c>
      <c r="H96" s="337" t="s">
        <v>1094</v>
      </c>
      <c r="I96" s="337" t="s">
        <v>883</v>
      </c>
      <c r="J96" s="337" t="s">
        <v>1094</v>
      </c>
      <c r="K96" s="278">
        <v>5.3986378205128204E-3</v>
      </c>
      <c r="L96" s="337" t="s">
        <v>1094</v>
      </c>
      <c r="M96" s="337" t="s">
        <v>1094</v>
      </c>
      <c r="N96" s="337" t="s">
        <v>1094</v>
      </c>
      <c r="O96" s="337" t="s">
        <v>1094</v>
      </c>
      <c r="P96" s="337" t="s">
        <v>1094</v>
      </c>
      <c r="Q96" s="337" t="s">
        <v>1094</v>
      </c>
      <c r="R96" s="337" t="s">
        <v>1094</v>
      </c>
      <c r="S96" s="337" t="s">
        <v>1094</v>
      </c>
      <c r="T96" s="337" t="s">
        <v>1094</v>
      </c>
      <c r="U96" s="337" t="s">
        <v>1094</v>
      </c>
      <c r="V96" s="231"/>
      <c r="W96" s="228"/>
      <c r="X96" s="228"/>
      <c r="Y96" s="627"/>
      <c r="Z96" s="618"/>
      <c r="AA96" s="616"/>
      <c r="AB96" s="226"/>
      <c r="AC96" s="226"/>
      <c r="AD96" s="226"/>
      <c r="AE96" s="226"/>
      <c r="AF96" s="348"/>
      <c r="AG96" s="226"/>
      <c r="AH96" s="332"/>
    </row>
    <row r="97" spans="1:34" s="13" customFormat="1">
      <c r="A97" s="242" t="s">
        <v>1089</v>
      </c>
      <c r="B97" s="593" t="s">
        <v>11241</v>
      </c>
      <c r="C97" s="594" t="s">
        <v>10096</v>
      </c>
      <c r="D97" s="337" t="s">
        <v>1094</v>
      </c>
      <c r="E97" s="337" t="s">
        <v>1094</v>
      </c>
      <c r="F97" s="337" t="s">
        <v>883</v>
      </c>
      <c r="G97" s="337" t="s">
        <v>1094</v>
      </c>
      <c r="H97" s="337" t="s">
        <v>1094</v>
      </c>
      <c r="I97" s="337" t="s">
        <v>883</v>
      </c>
      <c r="J97" s="337" t="s">
        <v>1094</v>
      </c>
      <c r="K97" s="278">
        <v>6.0144025604551916E-6</v>
      </c>
      <c r="L97" s="416" t="s">
        <v>883</v>
      </c>
      <c r="M97" s="416" t="s">
        <v>883</v>
      </c>
      <c r="N97" s="416" t="s">
        <v>883</v>
      </c>
      <c r="O97" s="416" t="s">
        <v>883</v>
      </c>
      <c r="P97" s="416" t="s">
        <v>1094</v>
      </c>
      <c r="Q97" s="416" t="s">
        <v>883</v>
      </c>
      <c r="R97" s="416" t="s">
        <v>883</v>
      </c>
      <c r="S97" s="416" t="s">
        <v>883</v>
      </c>
      <c r="T97" s="416" t="s">
        <v>883</v>
      </c>
      <c r="U97" s="416" t="s">
        <v>883</v>
      </c>
      <c r="V97" s="226"/>
      <c r="W97" s="228"/>
      <c r="X97" s="228"/>
      <c r="Y97" s="627"/>
      <c r="Z97" s="618"/>
      <c r="AA97" s="616"/>
      <c r="AB97" s="226"/>
      <c r="AC97" s="226"/>
      <c r="AD97" s="226"/>
      <c r="AE97" s="226"/>
      <c r="AF97" s="348"/>
      <c r="AG97" s="226"/>
      <c r="AH97" s="332"/>
    </row>
    <row r="98" spans="1:34" s="13" customFormat="1">
      <c r="A98" s="242" t="s">
        <v>1089</v>
      </c>
      <c r="B98" s="593" t="s">
        <v>11242</v>
      </c>
      <c r="C98" s="640" t="s">
        <v>11243</v>
      </c>
      <c r="D98" s="337" t="s">
        <v>883</v>
      </c>
      <c r="E98" s="337" t="s">
        <v>1094</v>
      </c>
      <c r="F98" s="337" t="s">
        <v>883</v>
      </c>
      <c r="G98" s="337" t="s">
        <v>1094</v>
      </c>
      <c r="H98" s="337" t="s">
        <v>1094</v>
      </c>
      <c r="I98" s="337" t="s">
        <v>883</v>
      </c>
      <c r="J98" s="337" t="s">
        <v>1094</v>
      </c>
      <c r="K98" s="278">
        <v>2.3632936622566296E-4</v>
      </c>
      <c r="L98" s="337" t="s">
        <v>1094</v>
      </c>
      <c r="M98" s="337" t="s">
        <v>1094</v>
      </c>
      <c r="N98" s="337" t="s">
        <v>1094</v>
      </c>
      <c r="O98" s="337" t="s">
        <v>1094</v>
      </c>
      <c r="P98" s="337" t="s">
        <v>1094</v>
      </c>
      <c r="Q98" s="337" t="s">
        <v>1094</v>
      </c>
      <c r="R98" s="337" t="s">
        <v>1094</v>
      </c>
      <c r="S98" s="337" t="s">
        <v>1094</v>
      </c>
      <c r="T98" s="337" t="s">
        <v>1094</v>
      </c>
      <c r="U98" s="337" t="s">
        <v>1094</v>
      </c>
      <c r="V98" s="226"/>
      <c r="W98" s="228"/>
      <c r="X98" s="228"/>
      <c r="Y98" s="627"/>
      <c r="Z98" s="618"/>
      <c r="AA98" s="616"/>
      <c r="AB98" s="226"/>
      <c r="AC98" s="226"/>
      <c r="AD98" s="226"/>
      <c r="AE98" s="226"/>
      <c r="AF98" s="348"/>
      <c r="AG98" s="226"/>
      <c r="AH98" s="332"/>
    </row>
    <row r="99" spans="1:34" s="13" customFormat="1">
      <c r="A99" s="242" t="s">
        <v>1089</v>
      </c>
      <c r="B99" s="593" t="s">
        <v>11255</v>
      </c>
      <c r="C99" s="640" t="s">
        <v>10310</v>
      </c>
      <c r="D99" s="337" t="s">
        <v>1094</v>
      </c>
      <c r="E99" s="337" t="s">
        <v>1094</v>
      </c>
      <c r="F99" s="337" t="s">
        <v>883</v>
      </c>
      <c r="G99" s="337" t="s">
        <v>883</v>
      </c>
      <c r="H99" s="337" t="s">
        <v>1094</v>
      </c>
      <c r="I99" s="337" t="s">
        <v>883</v>
      </c>
      <c r="J99" s="337" t="s">
        <v>1094</v>
      </c>
      <c r="K99" s="278">
        <v>4.6375E-2</v>
      </c>
      <c r="L99" s="337" t="s">
        <v>1094</v>
      </c>
      <c r="M99" s="337" t="s">
        <v>1094</v>
      </c>
      <c r="N99" s="337" t="s">
        <v>1094</v>
      </c>
      <c r="O99" s="337" t="s">
        <v>1094</v>
      </c>
      <c r="P99" s="337" t="s">
        <v>1094</v>
      </c>
      <c r="Q99" s="337" t="s">
        <v>1094</v>
      </c>
      <c r="R99" s="337" t="s">
        <v>1094</v>
      </c>
      <c r="S99" s="337" t="s">
        <v>1094</v>
      </c>
      <c r="T99" s="337" t="s">
        <v>1094</v>
      </c>
      <c r="U99" s="337" t="s">
        <v>1094</v>
      </c>
      <c r="V99" s="226"/>
      <c r="W99" s="228"/>
      <c r="X99" s="228"/>
      <c r="Y99" s="627"/>
      <c r="Z99" s="618"/>
      <c r="AA99" s="616"/>
      <c r="AB99" s="226"/>
      <c r="AC99" s="226"/>
      <c r="AD99" s="226"/>
      <c r="AE99" s="226"/>
      <c r="AF99" s="348"/>
      <c r="AG99" s="226"/>
      <c r="AH99" s="332"/>
    </row>
    <row r="100" spans="1:34" s="13" customFormat="1">
      <c r="A100" s="242" t="s">
        <v>1089</v>
      </c>
      <c r="B100" s="593" t="s">
        <v>11244</v>
      </c>
      <c r="C100" s="640" t="s">
        <v>11245</v>
      </c>
      <c r="D100" s="337" t="s">
        <v>1094</v>
      </c>
      <c r="E100" s="337" t="s">
        <v>1094</v>
      </c>
      <c r="F100" s="337" t="s">
        <v>883</v>
      </c>
      <c r="G100" s="337" t="s">
        <v>883</v>
      </c>
      <c r="H100" s="337" t="s">
        <v>883</v>
      </c>
      <c r="I100" s="337" t="s">
        <v>883</v>
      </c>
      <c r="J100" s="337" t="s">
        <v>1094</v>
      </c>
      <c r="K100" s="278">
        <v>8.3865571776155709E-3</v>
      </c>
      <c r="L100" s="337" t="s">
        <v>883</v>
      </c>
      <c r="M100" s="337" t="s">
        <v>1094</v>
      </c>
      <c r="N100" s="337" t="s">
        <v>1094</v>
      </c>
      <c r="O100" s="337" t="s">
        <v>883</v>
      </c>
      <c r="P100" s="337" t="s">
        <v>883</v>
      </c>
      <c r="Q100" s="337" t="s">
        <v>883</v>
      </c>
      <c r="R100" s="337" t="s">
        <v>883</v>
      </c>
      <c r="S100" s="337" t="s">
        <v>1094</v>
      </c>
      <c r="T100" s="337" t="s">
        <v>1094</v>
      </c>
      <c r="U100" s="337" t="s">
        <v>883</v>
      </c>
      <c r="V100" s="226"/>
      <c r="W100" s="228"/>
      <c r="X100" s="228"/>
      <c r="Y100" s="627"/>
      <c r="Z100" s="618"/>
      <c r="AA100" s="616"/>
      <c r="AB100" s="226"/>
      <c r="AC100" s="226"/>
      <c r="AD100" s="226"/>
      <c r="AE100" s="226"/>
      <c r="AF100" s="348"/>
      <c r="AG100" s="226"/>
      <c r="AH100" s="332"/>
    </row>
    <row r="101" spans="1:34" s="13" customFormat="1">
      <c r="A101" s="242" t="s">
        <v>1089</v>
      </c>
      <c r="B101" s="338" t="s">
        <v>581</v>
      </c>
      <c r="C101" s="594" t="s">
        <v>568</v>
      </c>
      <c r="D101" s="337" t="s">
        <v>883</v>
      </c>
      <c r="E101" s="337" t="s">
        <v>1094</v>
      </c>
      <c r="F101" s="337" t="s">
        <v>883</v>
      </c>
      <c r="G101" s="337" t="s">
        <v>883</v>
      </c>
      <c r="H101" s="337" t="s">
        <v>883</v>
      </c>
      <c r="I101" s="337" t="s">
        <v>883</v>
      </c>
      <c r="J101" s="337" t="s">
        <v>1094</v>
      </c>
      <c r="K101" s="278">
        <v>2.2058823529411766E-2</v>
      </c>
      <c r="L101" s="278" t="s">
        <v>1094</v>
      </c>
      <c r="M101" s="278" t="s">
        <v>1094</v>
      </c>
      <c r="N101" s="278" t="s">
        <v>1094</v>
      </c>
      <c r="O101" s="278" t="s">
        <v>1094</v>
      </c>
      <c r="P101" s="278" t="s">
        <v>1094</v>
      </c>
      <c r="Q101" s="278" t="s">
        <v>1094</v>
      </c>
      <c r="R101" s="278" t="s">
        <v>1094</v>
      </c>
      <c r="S101" s="278" t="s">
        <v>1094</v>
      </c>
      <c r="T101" s="278" t="s">
        <v>1094</v>
      </c>
      <c r="U101" s="278" t="s">
        <v>1094</v>
      </c>
      <c r="V101" s="226"/>
      <c r="W101" s="228"/>
      <c r="X101" s="228"/>
      <c r="Y101" s="627"/>
      <c r="Z101" s="618"/>
      <c r="AA101" s="616"/>
      <c r="AB101" s="226"/>
      <c r="AC101" s="226"/>
      <c r="AD101" s="226"/>
      <c r="AE101" s="226"/>
      <c r="AF101" s="348"/>
      <c r="AG101" s="226"/>
      <c r="AH101" s="332"/>
    </row>
    <row r="102" spans="1:34" s="13" customFormat="1">
      <c r="A102" s="242" t="s">
        <v>1089</v>
      </c>
      <c r="B102" s="338" t="s">
        <v>548</v>
      </c>
      <c r="C102" s="594" t="s">
        <v>264</v>
      </c>
      <c r="D102" s="337" t="s">
        <v>883</v>
      </c>
      <c r="E102" s="337" t="s">
        <v>1094</v>
      </c>
      <c r="F102" s="337" t="s">
        <v>883</v>
      </c>
      <c r="G102" s="337" t="s">
        <v>883</v>
      </c>
      <c r="H102" s="337" t="s">
        <v>883</v>
      </c>
      <c r="I102" s="337" t="s">
        <v>883</v>
      </c>
      <c r="J102" s="337" t="s">
        <v>1094</v>
      </c>
      <c r="K102" s="278">
        <v>0.01</v>
      </c>
      <c r="L102" s="278" t="s">
        <v>1094</v>
      </c>
      <c r="M102" s="278" t="s">
        <v>1094</v>
      </c>
      <c r="N102" s="278" t="s">
        <v>1094</v>
      </c>
      <c r="O102" s="278" t="s">
        <v>1094</v>
      </c>
      <c r="P102" s="278" t="s">
        <v>1094</v>
      </c>
      <c r="Q102" s="278" t="s">
        <v>1094</v>
      </c>
      <c r="R102" s="278" t="s">
        <v>1094</v>
      </c>
      <c r="S102" s="278" t="s">
        <v>1094</v>
      </c>
      <c r="T102" s="278" t="s">
        <v>1094</v>
      </c>
      <c r="U102" s="278" t="s">
        <v>1094</v>
      </c>
      <c r="V102" s="226"/>
      <c r="W102" s="228"/>
      <c r="X102" s="228"/>
      <c r="Y102" s="627"/>
      <c r="Z102" s="618"/>
      <c r="AA102" s="616"/>
      <c r="AB102" s="226"/>
      <c r="AC102" s="226"/>
      <c r="AD102" s="226"/>
      <c r="AE102" s="226"/>
      <c r="AF102" s="348"/>
      <c r="AG102" s="226"/>
      <c r="AH102" s="332"/>
    </row>
    <row r="103" spans="1:34" s="13" customFormat="1">
      <c r="A103" s="242" t="s">
        <v>1089</v>
      </c>
      <c r="B103" s="338" t="s">
        <v>580</v>
      </c>
      <c r="C103" s="594" t="s">
        <v>567</v>
      </c>
      <c r="D103" s="337" t="s">
        <v>883</v>
      </c>
      <c r="E103" s="337" t="s">
        <v>1094</v>
      </c>
      <c r="F103" s="337" t="s">
        <v>1094</v>
      </c>
      <c r="G103" s="337" t="s">
        <v>883</v>
      </c>
      <c r="H103" s="337" t="s">
        <v>1094</v>
      </c>
      <c r="I103" s="337" t="s">
        <v>1094</v>
      </c>
      <c r="J103" s="337" t="s">
        <v>1094</v>
      </c>
      <c r="K103" s="278">
        <v>6.8181818181818179E-3</v>
      </c>
      <c r="L103" s="278" t="s">
        <v>883</v>
      </c>
      <c r="M103" s="278" t="s">
        <v>883</v>
      </c>
      <c r="N103" s="278" t="s">
        <v>1094</v>
      </c>
      <c r="O103" s="278" t="s">
        <v>883</v>
      </c>
      <c r="P103" s="278" t="s">
        <v>1094</v>
      </c>
      <c r="Q103" s="278" t="s">
        <v>883</v>
      </c>
      <c r="R103" s="278" t="s">
        <v>883</v>
      </c>
      <c r="S103" s="278" t="s">
        <v>1094</v>
      </c>
      <c r="T103" s="278" t="s">
        <v>883</v>
      </c>
      <c r="U103" s="278" t="s">
        <v>883</v>
      </c>
      <c r="V103" s="226"/>
      <c r="W103" s="228"/>
      <c r="X103" s="228"/>
      <c r="Y103" s="627"/>
      <c r="Z103" s="618"/>
      <c r="AA103" s="616"/>
      <c r="AB103" s="226"/>
      <c r="AC103" s="226"/>
      <c r="AD103" s="226"/>
      <c r="AE103" s="226"/>
      <c r="AF103" s="348"/>
      <c r="AG103" s="226"/>
      <c r="AH103" s="332"/>
    </row>
    <row r="104" spans="1:34" s="13" customFormat="1">
      <c r="A104" s="242" t="s">
        <v>1089</v>
      </c>
      <c r="B104" s="338" t="s">
        <v>574</v>
      </c>
      <c r="C104" s="594" t="s">
        <v>561</v>
      </c>
      <c r="D104" s="337" t="s">
        <v>1094</v>
      </c>
      <c r="E104" s="337" t="s">
        <v>1094</v>
      </c>
      <c r="F104" s="337" t="s">
        <v>1094</v>
      </c>
      <c r="G104" s="337" t="s">
        <v>1094</v>
      </c>
      <c r="H104" s="337" t="s">
        <v>1094</v>
      </c>
      <c r="I104" s="337" t="s">
        <v>1094</v>
      </c>
      <c r="J104" s="337" t="s">
        <v>1094</v>
      </c>
      <c r="K104" s="278">
        <v>0.28046874999999999</v>
      </c>
      <c r="L104" s="278" t="s">
        <v>1094</v>
      </c>
      <c r="M104" s="278" t="s">
        <v>1094</v>
      </c>
      <c r="N104" s="278" t="s">
        <v>1094</v>
      </c>
      <c r="O104" s="278" t="s">
        <v>1094</v>
      </c>
      <c r="P104" s="278" t="s">
        <v>1094</v>
      </c>
      <c r="Q104" s="278" t="s">
        <v>1094</v>
      </c>
      <c r="R104" s="278" t="s">
        <v>1094</v>
      </c>
      <c r="S104" s="278" t="s">
        <v>1094</v>
      </c>
      <c r="T104" s="278" t="s">
        <v>1094</v>
      </c>
      <c r="U104" s="278" t="s">
        <v>1094</v>
      </c>
      <c r="V104" s="226"/>
      <c r="W104" s="228"/>
      <c r="X104" s="228"/>
      <c r="Y104" s="627"/>
      <c r="Z104" s="618"/>
      <c r="AA104" s="616"/>
      <c r="AB104" s="226"/>
      <c r="AC104" s="226"/>
      <c r="AD104" s="226"/>
      <c r="AE104" s="226"/>
      <c r="AF104" s="348"/>
      <c r="AG104" s="226"/>
      <c r="AH104" s="332"/>
    </row>
    <row r="105" spans="1:34" s="13" customFormat="1">
      <c r="A105" s="242" t="s">
        <v>1089</v>
      </c>
      <c r="B105" s="593" t="s">
        <v>11257</v>
      </c>
      <c r="C105" s="640" t="s">
        <v>9985</v>
      </c>
      <c r="D105" s="337" t="s">
        <v>1094</v>
      </c>
      <c r="E105" s="337" t="s">
        <v>1094</v>
      </c>
      <c r="F105" s="337" t="s">
        <v>883</v>
      </c>
      <c r="G105" s="337" t="s">
        <v>883</v>
      </c>
      <c r="H105" s="337" t="s">
        <v>883</v>
      </c>
      <c r="I105" s="337" t="s">
        <v>883</v>
      </c>
      <c r="J105" s="337" t="s">
        <v>1094</v>
      </c>
      <c r="K105" s="278">
        <v>0.56093749999999998</v>
      </c>
      <c r="L105" s="337" t="s">
        <v>883</v>
      </c>
      <c r="M105" s="337" t="s">
        <v>883</v>
      </c>
      <c r="N105" s="337" t="s">
        <v>1094</v>
      </c>
      <c r="O105" s="337" t="s">
        <v>1094</v>
      </c>
      <c r="P105" s="337" t="s">
        <v>1094</v>
      </c>
      <c r="Q105" s="337" t="s">
        <v>883</v>
      </c>
      <c r="R105" s="337" t="s">
        <v>883</v>
      </c>
      <c r="S105" s="337" t="s">
        <v>1094</v>
      </c>
      <c r="T105" s="337" t="s">
        <v>1094</v>
      </c>
      <c r="U105" s="337" t="s">
        <v>883</v>
      </c>
      <c r="V105" s="226"/>
      <c r="W105" s="228"/>
      <c r="X105" s="228"/>
      <c r="Y105" s="627"/>
      <c r="Z105" s="618"/>
      <c r="AA105" s="616"/>
      <c r="AB105" s="226"/>
      <c r="AC105" s="226"/>
      <c r="AD105" s="226"/>
      <c r="AE105" s="226"/>
      <c r="AF105" s="348"/>
      <c r="AG105" s="226"/>
      <c r="AH105" s="332"/>
    </row>
    <row r="106" spans="1:34" s="13" customFormat="1">
      <c r="A106" s="242" t="s">
        <v>1089</v>
      </c>
      <c r="B106" s="338" t="s">
        <v>845</v>
      </c>
      <c r="C106" s="594" t="s">
        <v>832</v>
      </c>
      <c r="D106" s="337" t="s">
        <v>883</v>
      </c>
      <c r="E106" s="337" t="s">
        <v>883</v>
      </c>
      <c r="F106" s="337" t="s">
        <v>1094</v>
      </c>
      <c r="G106" s="337" t="s">
        <v>1094</v>
      </c>
      <c r="H106" s="337" t="s">
        <v>1094</v>
      </c>
      <c r="I106" s="337" t="s">
        <v>1094</v>
      </c>
      <c r="J106" s="337" t="s">
        <v>1094</v>
      </c>
      <c r="K106" s="278">
        <v>1.25E-3</v>
      </c>
      <c r="L106" s="278" t="s">
        <v>883</v>
      </c>
      <c r="M106" s="278" t="s">
        <v>1094</v>
      </c>
      <c r="N106" s="278" t="s">
        <v>1094</v>
      </c>
      <c r="O106" s="278" t="s">
        <v>883</v>
      </c>
      <c r="P106" s="278" t="s">
        <v>1094</v>
      </c>
      <c r="Q106" s="278" t="s">
        <v>883</v>
      </c>
      <c r="R106" s="278" t="s">
        <v>1094</v>
      </c>
      <c r="S106" s="278" t="s">
        <v>1094</v>
      </c>
      <c r="T106" s="278" t="s">
        <v>883</v>
      </c>
      <c r="U106" s="278" t="s">
        <v>883</v>
      </c>
      <c r="V106" s="226"/>
      <c r="W106" s="228"/>
      <c r="X106" s="228"/>
      <c r="Y106" s="627"/>
      <c r="Z106" s="618"/>
      <c r="AA106" s="616"/>
      <c r="AB106" s="226"/>
      <c r="AC106" s="226"/>
      <c r="AD106" s="226"/>
      <c r="AE106" s="226"/>
      <c r="AF106" s="348"/>
      <c r="AG106" s="226"/>
      <c r="AH106" s="332"/>
    </row>
    <row r="107" spans="1:34">
      <c r="A107" s="242" t="s">
        <v>1089</v>
      </c>
      <c r="B107" s="593" t="s">
        <v>11246</v>
      </c>
      <c r="C107" s="640" t="s">
        <v>10230</v>
      </c>
      <c r="D107" s="337" t="s">
        <v>883</v>
      </c>
      <c r="E107" s="337" t="s">
        <v>1094</v>
      </c>
      <c r="F107" s="337" t="s">
        <v>883</v>
      </c>
      <c r="G107" s="337" t="s">
        <v>883</v>
      </c>
      <c r="H107" s="337" t="s">
        <v>1094</v>
      </c>
      <c r="I107" s="337" t="s">
        <v>883</v>
      </c>
      <c r="J107" s="337" t="s">
        <v>1094</v>
      </c>
      <c r="K107" s="278">
        <v>7.9577464788732379E-3</v>
      </c>
      <c r="L107" s="337" t="s">
        <v>1094</v>
      </c>
      <c r="M107" s="337" t="s">
        <v>1094</v>
      </c>
      <c r="N107" s="337" t="s">
        <v>1094</v>
      </c>
      <c r="O107" s="337" t="s">
        <v>1094</v>
      </c>
      <c r="P107" s="337" t="s">
        <v>1094</v>
      </c>
      <c r="Q107" s="337" t="s">
        <v>1094</v>
      </c>
      <c r="R107" s="337" t="s">
        <v>1094</v>
      </c>
      <c r="S107" s="337" t="s">
        <v>1094</v>
      </c>
      <c r="T107" s="337" t="s">
        <v>1094</v>
      </c>
      <c r="U107" s="337" t="s">
        <v>1094</v>
      </c>
    </row>
    <row r="108" spans="1:34">
      <c r="A108" s="242" t="s">
        <v>1089</v>
      </c>
      <c r="B108" s="338" t="s">
        <v>572</v>
      </c>
      <c r="C108" s="594" t="s">
        <v>559</v>
      </c>
      <c r="D108" s="337" t="s">
        <v>1094</v>
      </c>
      <c r="E108" s="337" t="s">
        <v>1094</v>
      </c>
      <c r="F108" s="337" t="s">
        <v>883</v>
      </c>
      <c r="G108" s="337" t="s">
        <v>883</v>
      </c>
      <c r="H108" s="337" t="s">
        <v>1094</v>
      </c>
      <c r="I108" s="337" t="s">
        <v>883</v>
      </c>
      <c r="J108" s="337" t="s">
        <v>1094</v>
      </c>
      <c r="K108" s="278">
        <v>8.3333333333333332E-3</v>
      </c>
      <c r="L108" s="278" t="s">
        <v>883</v>
      </c>
      <c r="M108" s="278" t="s">
        <v>883</v>
      </c>
      <c r="N108" s="278" t="s">
        <v>1094</v>
      </c>
      <c r="O108" s="278" t="s">
        <v>1094</v>
      </c>
      <c r="P108" s="278" t="s">
        <v>1094</v>
      </c>
      <c r="Q108" s="278" t="s">
        <v>883</v>
      </c>
      <c r="R108" s="278" t="s">
        <v>883</v>
      </c>
      <c r="S108" s="278" t="s">
        <v>1094</v>
      </c>
      <c r="T108" s="278" t="s">
        <v>883</v>
      </c>
      <c r="U108" s="278" t="s">
        <v>883</v>
      </c>
    </row>
    <row r="109" spans="1:34">
      <c r="A109" s="242" t="s">
        <v>1089</v>
      </c>
      <c r="B109" s="338" t="s">
        <v>556</v>
      </c>
      <c r="C109" s="594" t="s">
        <v>837</v>
      </c>
      <c r="D109" s="337" t="s">
        <v>883</v>
      </c>
      <c r="E109" s="337" t="s">
        <v>1094</v>
      </c>
      <c r="F109" s="337" t="s">
        <v>883</v>
      </c>
      <c r="G109" s="337" t="s">
        <v>883</v>
      </c>
      <c r="H109" s="337" t="s">
        <v>883</v>
      </c>
      <c r="I109" s="337" t="s">
        <v>883</v>
      </c>
      <c r="J109" s="337" t="s">
        <v>1094</v>
      </c>
      <c r="K109" s="278">
        <v>8.8028169014084511E-3</v>
      </c>
      <c r="L109" s="278" t="s">
        <v>883</v>
      </c>
      <c r="M109" s="278" t="s">
        <v>883</v>
      </c>
      <c r="N109" s="278" t="s">
        <v>1094</v>
      </c>
      <c r="O109" s="278" t="s">
        <v>883</v>
      </c>
      <c r="P109" s="278" t="s">
        <v>1094</v>
      </c>
      <c r="Q109" s="278" t="s">
        <v>883</v>
      </c>
      <c r="R109" s="278" t="s">
        <v>883</v>
      </c>
      <c r="S109" s="278" t="s">
        <v>1094</v>
      </c>
      <c r="T109" s="278" t="s">
        <v>883</v>
      </c>
      <c r="U109" s="278" t="s">
        <v>883</v>
      </c>
    </row>
    <row r="110" spans="1:34">
      <c r="A110" s="242" t="s">
        <v>1089</v>
      </c>
      <c r="B110" s="338" t="s">
        <v>549</v>
      </c>
      <c r="C110" s="594" t="s">
        <v>265</v>
      </c>
      <c r="D110" s="337" t="s">
        <v>1094</v>
      </c>
      <c r="E110" s="337" t="s">
        <v>1094</v>
      </c>
      <c r="F110" s="337" t="s">
        <v>883</v>
      </c>
      <c r="G110" s="337" t="s">
        <v>1094</v>
      </c>
      <c r="H110" s="337" t="s">
        <v>1094</v>
      </c>
      <c r="I110" s="337" t="s">
        <v>883</v>
      </c>
      <c r="J110" s="337" t="s">
        <v>883</v>
      </c>
      <c r="K110" s="278">
        <v>4.464285714285714E-3</v>
      </c>
      <c r="L110" s="278" t="s">
        <v>883</v>
      </c>
      <c r="M110" s="278" t="s">
        <v>883</v>
      </c>
      <c r="N110" s="278" t="s">
        <v>883</v>
      </c>
      <c r="O110" s="278" t="s">
        <v>1094</v>
      </c>
      <c r="P110" s="278" t="s">
        <v>1094</v>
      </c>
      <c r="Q110" s="278" t="s">
        <v>1094</v>
      </c>
      <c r="R110" s="278" t="s">
        <v>1094</v>
      </c>
      <c r="S110" s="278" t="s">
        <v>1094</v>
      </c>
      <c r="T110" s="278" t="s">
        <v>1094</v>
      </c>
      <c r="U110" s="278" t="s">
        <v>883</v>
      </c>
    </row>
    <row r="111" spans="1:34">
      <c r="A111" s="242" t="s">
        <v>1089</v>
      </c>
      <c r="B111" s="297" t="s">
        <v>1286</v>
      </c>
      <c r="C111" s="594" t="s">
        <v>261</v>
      </c>
      <c r="D111" s="337" t="s">
        <v>1094</v>
      </c>
      <c r="E111" s="337" t="s">
        <v>883</v>
      </c>
      <c r="F111" s="337" t="s">
        <v>883</v>
      </c>
      <c r="G111" s="337" t="s">
        <v>1094</v>
      </c>
      <c r="H111" s="337" t="s">
        <v>1094</v>
      </c>
      <c r="I111" s="337" t="s">
        <v>883</v>
      </c>
      <c r="J111" s="337" t="s">
        <v>883</v>
      </c>
      <c r="K111" s="278">
        <v>2.8571428571428571E-2</v>
      </c>
      <c r="L111" s="278" t="s">
        <v>883</v>
      </c>
      <c r="M111" s="278" t="s">
        <v>1094</v>
      </c>
      <c r="N111" s="278" t="s">
        <v>1094</v>
      </c>
      <c r="O111" s="278" t="s">
        <v>883</v>
      </c>
      <c r="P111" s="278" t="s">
        <v>1094</v>
      </c>
      <c r="Q111" s="278" t="s">
        <v>883</v>
      </c>
      <c r="R111" s="278" t="s">
        <v>1094</v>
      </c>
      <c r="S111" s="278" t="s">
        <v>1094</v>
      </c>
      <c r="T111" s="278" t="s">
        <v>1094</v>
      </c>
      <c r="U111" s="278" t="s">
        <v>883</v>
      </c>
    </row>
    <row r="112" spans="1:34">
      <c r="A112" s="242" t="s">
        <v>1089</v>
      </c>
      <c r="B112" s="338" t="s">
        <v>840</v>
      </c>
      <c r="C112" s="594" t="s">
        <v>828</v>
      </c>
      <c r="D112" s="337" t="s">
        <v>883</v>
      </c>
      <c r="E112" s="337" t="s">
        <v>1094</v>
      </c>
      <c r="F112" s="337" t="s">
        <v>883</v>
      </c>
      <c r="G112" s="337" t="s">
        <v>883</v>
      </c>
      <c r="H112" s="337" t="s">
        <v>1094</v>
      </c>
      <c r="I112" s="337" t="s">
        <v>883</v>
      </c>
      <c r="J112" s="337" t="s">
        <v>1094</v>
      </c>
      <c r="K112" s="278">
        <v>7.4958700440528638E-3</v>
      </c>
      <c r="L112" s="278" t="s">
        <v>883</v>
      </c>
      <c r="M112" s="278" t="s">
        <v>1094</v>
      </c>
      <c r="N112" s="278" t="s">
        <v>883</v>
      </c>
      <c r="O112" s="278" t="s">
        <v>1094</v>
      </c>
      <c r="P112" s="278" t="s">
        <v>1094</v>
      </c>
      <c r="Q112" s="278" t="s">
        <v>883</v>
      </c>
      <c r="R112" s="278" t="s">
        <v>1094</v>
      </c>
      <c r="S112" s="278" t="s">
        <v>1094</v>
      </c>
      <c r="T112" s="278" t="s">
        <v>1094</v>
      </c>
      <c r="U112" s="278" t="s">
        <v>1094</v>
      </c>
    </row>
    <row r="113" spans="1:26">
      <c r="A113" s="242" t="s">
        <v>1089</v>
      </c>
      <c r="B113" s="338" t="s">
        <v>576</v>
      </c>
      <c r="C113" s="594" t="s">
        <v>563</v>
      </c>
      <c r="D113" s="337" t="s">
        <v>1094</v>
      </c>
      <c r="E113" s="337" t="s">
        <v>1094</v>
      </c>
      <c r="F113" s="337" t="s">
        <v>883</v>
      </c>
      <c r="G113" s="337" t="s">
        <v>1094</v>
      </c>
      <c r="H113" s="337" t="s">
        <v>1094</v>
      </c>
      <c r="I113" s="337" t="s">
        <v>883</v>
      </c>
      <c r="J113" s="337" t="s">
        <v>1094</v>
      </c>
      <c r="K113" s="278">
        <v>4.3269230769230772E-3</v>
      </c>
      <c r="L113" s="278" t="s">
        <v>1094</v>
      </c>
      <c r="M113" s="278" t="s">
        <v>1094</v>
      </c>
      <c r="N113" s="278" t="s">
        <v>1094</v>
      </c>
      <c r="O113" s="278" t="s">
        <v>1094</v>
      </c>
      <c r="P113" s="278" t="s">
        <v>1094</v>
      </c>
      <c r="Q113" s="278" t="s">
        <v>1094</v>
      </c>
      <c r="R113" s="278" t="s">
        <v>1094</v>
      </c>
      <c r="S113" s="278" t="s">
        <v>1094</v>
      </c>
      <c r="T113" s="278" t="s">
        <v>1094</v>
      </c>
      <c r="U113" s="278" t="s">
        <v>1094</v>
      </c>
    </row>
    <row r="114" spans="1:26">
      <c r="A114" s="242" t="s">
        <v>1089</v>
      </c>
      <c r="B114" s="338" t="s">
        <v>842</v>
      </c>
      <c r="C114" s="594" t="s">
        <v>830</v>
      </c>
      <c r="D114" s="337" t="s">
        <v>883</v>
      </c>
      <c r="E114" s="337" t="s">
        <v>883</v>
      </c>
      <c r="F114" s="337" t="s">
        <v>1094</v>
      </c>
      <c r="G114" s="337" t="s">
        <v>883</v>
      </c>
      <c r="H114" s="337" t="s">
        <v>883</v>
      </c>
      <c r="I114" s="337" t="s">
        <v>1094</v>
      </c>
      <c r="J114" s="337" t="s">
        <v>883</v>
      </c>
      <c r="K114" s="278">
        <v>1.0810810810810811E-2</v>
      </c>
      <c r="L114" s="278" t="s">
        <v>1094</v>
      </c>
      <c r="M114" s="278" t="s">
        <v>1094</v>
      </c>
      <c r="N114" s="278" t="s">
        <v>1094</v>
      </c>
      <c r="O114" s="278" t="s">
        <v>1094</v>
      </c>
      <c r="P114" s="278" t="s">
        <v>1094</v>
      </c>
      <c r="Q114" s="278" t="s">
        <v>1094</v>
      </c>
      <c r="R114" s="278" t="s">
        <v>1094</v>
      </c>
      <c r="S114" s="278" t="s">
        <v>1094</v>
      </c>
      <c r="T114" s="278" t="s">
        <v>1094</v>
      </c>
      <c r="U114" s="278" t="s">
        <v>1094</v>
      </c>
    </row>
    <row r="115" spans="1:26">
      <c r="A115" s="242" t="s">
        <v>1089</v>
      </c>
      <c r="B115" s="338" t="s">
        <v>547</v>
      </c>
      <c r="C115" s="594" t="s">
        <v>263</v>
      </c>
      <c r="D115" s="337" t="s">
        <v>1094</v>
      </c>
      <c r="E115" s="337" t="s">
        <v>883</v>
      </c>
      <c r="F115" s="337" t="s">
        <v>883</v>
      </c>
      <c r="G115" s="337" t="s">
        <v>1094</v>
      </c>
      <c r="H115" s="337" t="s">
        <v>1094</v>
      </c>
      <c r="I115" s="337" t="s">
        <v>883</v>
      </c>
      <c r="J115" s="337" t="s">
        <v>883</v>
      </c>
      <c r="K115" s="278">
        <v>3.3333333333333333E-2</v>
      </c>
      <c r="L115" s="278" t="s">
        <v>883</v>
      </c>
      <c r="M115" s="278" t="s">
        <v>883</v>
      </c>
      <c r="N115" s="278" t="s">
        <v>1094</v>
      </c>
      <c r="O115" s="278" t="s">
        <v>883</v>
      </c>
      <c r="P115" s="278" t="s">
        <v>1094</v>
      </c>
      <c r="Q115" s="278" t="s">
        <v>883</v>
      </c>
      <c r="R115" s="278" t="s">
        <v>883</v>
      </c>
      <c r="S115" s="278" t="s">
        <v>1094</v>
      </c>
      <c r="T115" s="278" t="s">
        <v>883</v>
      </c>
      <c r="U115" s="278" t="s">
        <v>883</v>
      </c>
      <c r="Y115" s="627">
        <v>12</v>
      </c>
      <c r="Z115" s="618">
        <v>180</v>
      </c>
    </row>
    <row r="116" spans="1:26">
      <c r="A116" s="242" t="s">
        <v>1089</v>
      </c>
      <c r="B116" s="593" t="s">
        <v>11247</v>
      </c>
      <c r="C116" s="640" t="s">
        <v>9629</v>
      </c>
      <c r="D116" s="337" t="s">
        <v>883</v>
      </c>
      <c r="E116" s="337" t="s">
        <v>1094</v>
      </c>
      <c r="F116" s="337" t="s">
        <v>1094</v>
      </c>
      <c r="G116" s="337" t="s">
        <v>883</v>
      </c>
      <c r="H116" s="337" t="s">
        <v>1094</v>
      </c>
      <c r="I116" s="337" t="s">
        <v>883</v>
      </c>
      <c r="J116" s="337" t="s">
        <v>1094</v>
      </c>
      <c r="K116" s="337">
        <v>3.5781029619181949E-3</v>
      </c>
      <c r="L116" s="337" t="s">
        <v>883</v>
      </c>
      <c r="M116" s="337" t="s">
        <v>1094</v>
      </c>
      <c r="N116" s="337" t="s">
        <v>1094</v>
      </c>
      <c r="O116" s="337" t="s">
        <v>1094</v>
      </c>
      <c r="P116" s="337" t="s">
        <v>1094</v>
      </c>
      <c r="Q116" s="337" t="s">
        <v>883</v>
      </c>
      <c r="R116" s="337" t="s">
        <v>1094</v>
      </c>
      <c r="S116" s="337" t="s">
        <v>1094</v>
      </c>
      <c r="T116" s="337" t="s">
        <v>1094</v>
      </c>
      <c r="U116" s="337" t="s">
        <v>1094</v>
      </c>
    </row>
    <row r="117" spans="1:26">
      <c r="A117" s="242" t="s">
        <v>1089</v>
      </c>
      <c r="B117" s="593" t="s">
        <v>11260</v>
      </c>
      <c r="C117" s="640" t="s">
        <v>9583</v>
      </c>
      <c r="D117" s="337" t="s">
        <v>883</v>
      </c>
      <c r="E117" s="337" t="s">
        <v>1094</v>
      </c>
      <c r="F117" s="337" t="s">
        <v>1094</v>
      </c>
      <c r="G117" s="337" t="s">
        <v>883</v>
      </c>
      <c r="H117" s="337" t="s">
        <v>1094</v>
      </c>
      <c r="I117" s="337" t="s">
        <v>883</v>
      </c>
      <c r="J117" s="337" t="s">
        <v>1094</v>
      </c>
      <c r="K117" s="278">
        <v>1.41484375E-2</v>
      </c>
      <c r="L117" s="337" t="s">
        <v>1094</v>
      </c>
      <c r="M117" s="337" t="s">
        <v>1094</v>
      </c>
      <c r="N117" s="337" t="s">
        <v>1094</v>
      </c>
      <c r="O117" s="337" t="s">
        <v>1094</v>
      </c>
      <c r="P117" s="337" t="s">
        <v>1094</v>
      </c>
      <c r="Q117" s="337" t="s">
        <v>1094</v>
      </c>
      <c r="R117" s="337" t="s">
        <v>1094</v>
      </c>
      <c r="S117" s="337" t="s">
        <v>1094</v>
      </c>
      <c r="T117" s="337" t="s">
        <v>1094</v>
      </c>
      <c r="U117" s="337" t="s">
        <v>1094</v>
      </c>
    </row>
    <row r="118" spans="1:26">
      <c r="A118" s="242" t="s">
        <v>1089</v>
      </c>
      <c r="B118" s="338" t="s">
        <v>579</v>
      </c>
      <c r="C118" s="594" t="s">
        <v>566</v>
      </c>
      <c r="D118" s="337" t="s">
        <v>1094</v>
      </c>
      <c r="E118" s="337" t="s">
        <v>1094</v>
      </c>
      <c r="F118" s="337" t="s">
        <v>883</v>
      </c>
      <c r="G118" s="337" t="s">
        <v>883</v>
      </c>
      <c r="H118" s="337" t="s">
        <v>1094</v>
      </c>
      <c r="I118" s="337" t="s">
        <v>883</v>
      </c>
      <c r="J118" s="337" t="s">
        <v>1094</v>
      </c>
      <c r="K118" s="278">
        <v>6.0000000000000001E-3</v>
      </c>
      <c r="L118" s="278" t="s">
        <v>883</v>
      </c>
      <c r="M118" s="278" t="s">
        <v>883</v>
      </c>
      <c r="N118" s="278" t="s">
        <v>883</v>
      </c>
      <c r="O118" s="278" t="s">
        <v>883</v>
      </c>
      <c r="P118" s="278" t="s">
        <v>883</v>
      </c>
      <c r="Q118" s="278" t="s">
        <v>883</v>
      </c>
      <c r="R118" s="278" t="s">
        <v>883</v>
      </c>
      <c r="S118" s="278" t="s">
        <v>1094</v>
      </c>
      <c r="T118" s="278" t="s">
        <v>1094</v>
      </c>
      <c r="U118" s="278" t="s">
        <v>883</v>
      </c>
    </row>
    <row r="119" spans="1:26">
      <c r="A119" s="242" t="s">
        <v>1089</v>
      </c>
      <c r="B119" s="593" t="s">
        <v>11261</v>
      </c>
      <c r="C119" s="640" t="s">
        <v>9962</v>
      </c>
      <c r="D119" s="337" t="s">
        <v>883</v>
      </c>
      <c r="E119" s="337" t="s">
        <v>1094</v>
      </c>
      <c r="F119" s="337" t="s">
        <v>883</v>
      </c>
      <c r="G119" s="337" t="s">
        <v>883</v>
      </c>
      <c r="H119" s="337" t="s">
        <v>883</v>
      </c>
      <c r="I119" s="337" t="s">
        <v>883</v>
      </c>
      <c r="J119" s="337" t="s">
        <v>1094</v>
      </c>
      <c r="K119" s="337">
        <v>1.0179398148148147E-2</v>
      </c>
      <c r="L119" s="337" t="s">
        <v>1094</v>
      </c>
      <c r="M119" s="337" t="s">
        <v>1094</v>
      </c>
      <c r="N119" s="337" t="s">
        <v>1094</v>
      </c>
      <c r="O119" s="337" t="s">
        <v>1094</v>
      </c>
      <c r="P119" s="337" t="s">
        <v>1094</v>
      </c>
      <c r="Q119" s="337" t="s">
        <v>1094</v>
      </c>
      <c r="R119" s="337" t="s">
        <v>1094</v>
      </c>
      <c r="S119" s="337" t="s">
        <v>1094</v>
      </c>
      <c r="T119" s="337" t="s">
        <v>1094</v>
      </c>
      <c r="U119" s="337" t="s">
        <v>1094</v>
      </c>
    </row>
    <row r="120" spans="1:26">
      <c r="A120" s="242" t="s">
        <v>1089</v>
      </c>
      <c r="B120" s="338" t="s">
        <v>841</v>
      </c>
      <c r="C120" s="594" t="s">
        <v>829</v>
      </c>
      <c r="D120" s="337" t="s">
        <v>1094</v>
      </c>
      <c r="E120" s="337" t="s">
        <v>1094</v>
      </c>
      <c r="F120" s="337" t="s">
        <v>883</v>
      </c>
      <c r="G120" s="337" t="s">
        <v>1094</v>
      </c>
      <c r="H120" s="337" t="s">
        <v>1094</v>
      </c>
      <c r="I120" s="337" t="s">
        <v>883</v>
      </c>
      <c r="J120" s="337" t="s">
        <v>883</v>
      </c>
      <c r="K120" s="278">
        <v>8.7890625000000002E-4</v>
      </c>
      <c r="L120" s="278" t="s">
        <v>1094</v>
      </c>
      <c r="M120" s="278" t="s">
        <v>1094</v>
      </c>
      <c r="N120" s="278" t="s">
        <v>1094</v>
      </c>
      <c r="O120" s="278" t="s">
        <v>1094</v>
      </c>
      <c r="P120" s="278" t="s">
        <v>1094</v>
      </c>
      <c r="Q120" s="278" t="s">
        <v>1094</v>
      </c>
      <c r="R120" s="278" t="s">
        <v>1094</v>
      </c>
      <c r="S120" s="278" t="s">
        <v>1094</v>
      </c>
      <c r="T120" s="278" t="s">
        <v>1094</v>
      </c>
      <c r="U120" s="278" t="s">
        <v>1094</v>
      </c>
    </row>
    <row r="121" spans="1:26">
      <c r="A121" s="242" t="s">
        <v>1089</v>
      </c>
      <c r="B121" s="593" t="s">
        <v>11262</v>
      </c>
      <c r="C121" s="640" t="s">
        <v>9528</v>
      </c>
      <c r="D121" s="337" t="s">
        <v>1094</v>
      </c>
      <c r="E121" s="337" t="s">
        <v>1094</v>
      </c>
      <c r="F121" s="337" t="s">
        <v>883</v>
      </c>
      <c r="G121" s="337" t="s">
        <v>883</v>
      </c>
      <c r="H121" s="337" t="s">
        <v>883</v>
      </c>
      <c r="I121" s="337" t="s">
        <v>883</v>
      </c>
      <c r="J121" s="337" t="s">
        <v>1094</v>
      </c>
      <c r="K121" s="278">
        <v>0.22437499999999999</v>
      </c>
      <c r="L121" s="337" t="s">
        <v>883</v>
      </c>
      <c r="M121" s="337" t="s">
        <v>883</v>
      </c>
      <c r="N121" s="337" t="s">
        <v>883</v>
      </c>
      <c r="O121" s="337" t="s">
        <v>883</v>
      </c>
      <c r="P121" s="337" t="s">
        <v>883</v>
      </c>
      <c r="Q121" s="337" t="s">
        <v>883</v>
      </c>
      <c r="R121" s="337" t="s">
        <v>1094</v>
      </c>
      <c r="S121" s="337" t="s">
        <v>1094</v>
      </c>
      <c r="T121" s="337" t="s">
        <v>1094</v>
      </c>
      <c r="U121" s="337" t="s">
        <v>883</v>
      </c>
    </row>
    <row r="122" spans="1:26">
      <c r="A122" s="242" t="s">
        <v>1089</v>
      </c>
      <c r="B122" s="338" t="s">
        <v>584</v>
      </c>
      <c r="C122" s="594" t="s">
        <v>587</v>
      </c>
      <c r="D122" s="337" t="s">
        <v>1094</v>
      </c>
      <c r="E122" s="337" t="s">
        <v>1094</v>
      </c>
      <c r="F122" s="337" t="s">
        <v>883</v>
      </c>
      <c r="G122" s="337" t="s">
        <v>883</v>
      </c>
      <c r="H122" s="337" t="s">
        <v>1094</v>
      </c>
      <c r="I122" s="337" t="s">
        <v>883</v>
      </c>
      <c r="J122" s="337" t="s">
        <v>1094</v>
      </c>
      <c r="K122" s="278">
        <v>9.5858895705521474E-3</v>
      </c>
      <c r="L122" s="278" t="s">
        <v>1094</v>
      </c>
      <c r="M122" s="278" t="s">
        <v>1094</v>
      </c>
      <c r="N122" s="278" t="s">
        <v>1094</v>
      </c>
      <c r="O122" s="278" t="s">
        <v>1094</v>
      </c>
      <c r="P122" s="278" t="s">
        <v>1094</v>
      </c>
      <c r="Q122" s="278" t="s">
        <v>1094</v>
      </c>
      <c r="R122" s="278" t="s">
        <v>1094</v>
      </c>
      <c r="S122" s="278" t="s">
        <v>1094</v>
      </c>
      <c r="T122" s="278" t="s">
        <v>1094</v>
      </c>
      <c r="U122" s="278" t="s">
        <v>1094</v>
      </c>
    </row>
    <row r="123" spans="1:26">
      <c r="A123" s="242" t="s">
        <v>1089</v>
      </c>
      <c r="B123" s="338" t="s">
        <v>843</v>
      </c>
      <c r="C123" s="594" t="s">
        <v>831</v>
      </c>
      <c r="D123" s="337" t="s">
        <v>1094</v>
      </c>
      <c r="E123" s="337" t="s">
        <v>1094</v>
      </c>
      <c r="F123" s="337" t="s">
        <v>883</v>
      </c>
      <c r="G123" s="337" t="s">
        <v>1094</v>
      </c>
      <c r="H123" s="337" t="s">
        <v>1094</v>
      </c>
      <c r="I123" s="337" t="s">
        <v>883</v>
      </c>
      <c r="J123" s="337" t="s">
        <v>883</v>
      </c>
      <c r="K123" s="278">
        <v>7.4013157894736838E-3</v>
      </c>
      <c r="L123" s="278" t="s">
        <v>1094</v>
      </c>
      <c r="M123" s="278" t="s">
        <v>1094</v>
      </c>
      <c r="N123" s="278" t="s">
        <v>1094</v>
      </c>
      <c r="O123" s="278" t="s">
        <v>1094</v>
      </c>
      <c r="P123" s="278" t="s">
        <v>1094</v>
      </c>
      <c r="Q123" s="278" t="s">
        <v>1094</v>
      </c>
      <c r="R123" s="278" t="s">
        <v>1094</v>
      </c>
      <c r="S123" s="278" t="s">
        <v>1094</v>
      </c>
      <c r="T123" s="278" t="s">
        <v>1094</v>
      </c>
      <c r="U123" s="278" t="s">
        <v>1094</v>
      </c>
      <c r="Y123" s="627">
        <v>15</v>
      </c>
      <c r="Z123" s="618">
        <v>225</v>
      </c>
    </row>
    <row r="124" spans="1:26">
      <c r="A124" s="242" t="s">
        <v>1089</v>
      </c>
      <c r="B124" s="593" t="s">
        <v>11263</v>
      </c>
      <c r="C124" s="640" t="s">
        <v>9538</v>
      </c>
      <c r="D124" s="337" t="s">
        <v>883</v>
      </c>
      <c r="E124" s="337" t="s">
        <v>1094</v>
      </c>
      <c r="F124" s="337" t="s">
        <v>883</v>
      </c>
      <c r="G124" s="337" t="s">
        <v>883</v>
      </c>
      <c r="H124" s="337" t="s">
        <v>883</v>
      </c>
      <c r="I124" s="337" t="s">
        <v>883</v>
      </c>
      <c r="J124" s="337" t="s">
        <v>1094</v>
      </c>
      <c r="K124" s="278">
        <v>0.161015625</v>
      </c>
      <c r="L124" s="337" t="s">
        <v>883</v>
      </c>
      <c r="M124" s="337" t="s">
        <v>883</v>
      </c>
      <c r="N124" s="337" t="s">
        <v>883</v>
      </c>
      <c r="O124" s="337" t="s">
        <v>883</v>
      </c>
      <c r="P124" s="337" t="s">
        <v>1094</v>
      </c>
      <c r="Q124" s="337" t="s">
        <v>883</v>
      </c>
      <c r="R124" s="337" t="s">
        <v>883</v>
      </c>
      <c r="S124" s="337" t="s">
        <v>1094</v>
      </c>
      <c r="T124" s="337" t="s">
        <v>883</v>
      </c>
      <c r="U124" s="337" t="s">
        <v>883</v>
      </c>
    </row>
    <row r="125" spans="1:26">
      <c r="A125" s="242" t="s">
        <v>1089</v>
      </c>
      <c r="B125" s="338" t="s">
        <v>846</v>
      </c>
      <c r="C125" s="594" t="s">
        <v>833</v>
      </c>
      <c r="D125" s="337" t="s">
        <v>883</v>
      </c>
      <c r="E125" s="337" t="s">
        <v>1094</v>
      </c>
      <c r="F125" s="337" t="s">
        <v>883</v>
      </c>
      <c r="G125" s="337" t="s">
        <v>883</v>
      </c>
      <c r="H125" s="337" t="s">
        <v>883</v>
      </c>
      <c r="I125" s="337" t="s">
        <v>883</v>
      </c>
      <c r="J125" s="337" t="s">
        <v>1094</v>
      </c>
      <c r="K125" s="278">
        <v>6.2500000000000003E-3</v>
      </c>
      <c r="L125" s="278" t="s">
        <v>883</v>
      </c>
      <c r="M125" s="278" t="s">
        <v>1094</v>
      </c>
      <c r="N125" s="278" t="s">
        <v>1094</v>
      </c>
      <c r="O125" s="278" t="s">
        <v>1094</v>
      </c>
      <c r="P125" s="278" t="s">
        <v>1094</v>
      </c>
      <c r="Q125" s="278" t="s">
        <v>883</v>
      </c>
      <c r="R125" s="278" t="s">
        <v>1094</v>
      </c>
      <c r="S125" s="278" t="s">
        <v>1094</v>
      </c>
      <c r="T125" s="278" t="s">
        <v>883</v>
      </c>
      <c r="U125" s="278" t="s">
        <v>883</v>
      </c>
    </row>
    <row r="126" spans="1:26">
      <c r="A126" s="242" t="s">
        <v>1089</v>
      </c>
      <c r="B126" s="338" t="s">
        <v>577</v>
      </c>
      <c r="C126" s="594" t="s">
        <v>564</v>
      </c>
      <c r="D126" s="337" t="s">
        <v>1094</v>
      </c>
      <c r="E126" s="337" t="s">
        <v>1094</v>
      </c>
      <c r="F126" s="337" t="s">
        <v>883</v>
      </c>
      <c r="G126" s="337" t="s">
        <v>1094</v>
      </c>
      <c r="H126" s="337" t="s">
        <v>1094</v>
      </c>
      <c r="I126" s="337" t="s">
        <v>883</v>
      </c>
      <c r="J126" s="337" t="s">
        <v>883</v>
      </c>
      <c r="K126" s="278">
        <v>3.0000000000000001E-3</v>
      </c>
      <c r="L126" s="278" t="s">
        <v>1094</v>
      </c>
      <c r="M126" s="278" t="s">
        <v>1094</v>
      </c>
      <c r="N126" s="278" t="s">
        <v>1094</v>
      </c>
      <c r="O126" s="278" t="s">
        <v>1094</v>
      </c>
      <c r="P126" s="278" t="s">
        <v>1094</v>
      </c>
      <c r="Q126" s="278" t="s">
        <v>1094</v>
      </c>
      <c r="R126" s="278" t="s">
        <v>1094</v>
      </c>
      <c r="S126" s="278" t="s">
        <v>1094</v>
      </c>
      <c r="T126" s="278" t="s">
        <v>1094</v>
      </c>
      <c r="U126" s="278" t="s">
        <v>1094</v>
      </c>
    </row>
    <row r="127" spans="1:26">
      <c r="A127" s="242" t="s">
        <v>1089</v>
      </c>
      <c r="B127" s="593" t="s">
        <v>11237</v>
      </c>
      <c r="C127" s="640" t="s">
        <v>9493</v>
      </c>
      <c r="D127" s="337" t="s">
        <v>883</v>
      </c>
      <c r="E127" s="337" t="s">
        <v>1094</v>
      </c>
      <c r="F127" s="337" t="s">
        <v>1094</v>
      </c>
      <c r="G127" s="337" t="s">
        <v>883</v>
      </c>
      <c r="H127" s="337" t="s">
        <v>883</v>
      </c>
      <c r="I127" s="337" t="s">
        <v>883</v>
      </c>
      <c r="J127" s="337" t="s">
        <v>1094</v>
      </c>
      <c r="K127" s="278">
        <v>0.13570833333333335</v>
      </c>
      <c r="L127" s="337" t="s">
        <v>883</v>
      </c>
      <c r="M127" s="337" t="s">
        <v>883</v>
      </c>
      <c r="N127" s="337" t="s">
        <v>1094</v>
      </c>
      <c r="O127" s="337" t="s">
        <v>883</v>
      </c>
      <c r="P127" s="337" t="s">
        <v>883</v>
      </c>
      <c r="Q127" s="337" t="s">
        <v>883</v>
      </c>
      <c r="R127" s="337" t="s">
        <v>883</v>
      </c>
      <c r="S127" s="337" t="s">
        <v>1094</v>
      </c>
      <c r="T127" s="337" t="s">
        <v>1094</v>
      </c>
      <c r="U127" s="337" t="s">
        <v>883</v>
      </c>
    </row>
    <row r="128" spans="1:26">
      <c r="A128" s="242" t="s">
        <v>1089</v>
      </c>
      <c r="B128" s="593" t="s">
        <v>11268</v>
      </c>
      <c r="C128" s="640" t="s">
        <v>10292</v>
      </c>
      <c r="D128" s="337" t="s">
        <v>883</v>
      </c>
      <c r="E128" s="337" t="s">
        <v>1094</v>
      </c>
      <c r="F128" s="337" t="s">
        <v>1094</v>
      </c>
      <c r="G128" s="337" t="s">
        <v>883</v>
      </c>
      <c r="H128" s="337" t="s">
        <v>1094</v>
      </c>
      <c r="I128" s="337" t="s">
        <v>883</v>
      </c>
      <c r="J128" s="337" t="s">
        <v>1094</v>
      </c>
      <c r="K128" s="278">
        <v>0.10198863636363636</v>
      </c>
      <c r="L128" s="337" t="s">
        <v>883</v>
      </c>
      <c r="M128" s="337" t="s">
        <v>883</v>
      </c>
      <c r="N128" s="337" t="s">
        <v>1094</v>
      </c>
      <c r="O128" s="337" t="s">
        <v>883</v>
      </c>
      <c r="P128" s="337" t="s">
        <v>1094</v>
      </c>
      <c r="Q128" s="337" t="s">
        <v>883</v>
      </c>
      <c r="R128" s="337" t="s">
        <v>1094</v>
      </c>
      <c r="S128" s="337" t="s">
        <v>1094</v>
      </c>
      <c r="T128" s="337" t="s">
        <v>1094</v>
      </c>
      <c r="U128" s="337" t="s">
        <v>883</v>
      </c>
    </row>
    <row r="129" spans="1:34">
      <c r="A129" s="242" t="s">
        <v>1089</v>
      </c>
      <c r="B129" s="338" t="s">
        <v>571</v>
      </c>
      <c r="C129" s="594" t="s">
        <v>558</v>
      </c>
      <c r="D129" s="337" t="s">
        <v>1094</v>
      </c>
      <c r="E129" s="422" t="s">
        <v>1094</v>
      </c>
      <c r="F129" s="337" t="s">
        <v>883</v>
      </c>
      <c r="G129" s="337" t="s">
        <v>883</v>
      </c>
      <c r="H129" s="337" t="s">
        <v>1094</v>
      </c>
      <c r="I129" s="337" t="s">
        <v>883</v>
      </c>
      <c r="J129" s="337" t="s">
        <v>1094</v>
      </c>
      <c r="K129" s="278">
        <v>1.6544117647058823E-4</v>
      </c>
      <c r="L129" s="278" t="s">
        <v>883</v>
      </c>
      <c r="M129" s="278" t="s">
        <v>883</v>
      </c>
      <c r="N129" s="278" t="s">
        <v>1094</v>
      </c>
      <c r="O129" s="278" t="s">
        <v>1094</v>
      </c>
      <c r="P129" s="278" t="s">
        <v>1094</v>
      </c>
      <c r="Q129" s="278" t="s">
        <v>883</v>
      </c>
      <c r="R129" s="278" t="s">
        <v>1094</v>
      </c>
      <c r="S129" s="278" t="s">
        <v>1094</v>
      </c>
      <c r="T129" s="278" t="s">
        <v>883</v>
      </c>
      <c r="U129" s="278" t="s">
        <v>883</v>
      </c>
    </row>
    <row r="130" spans="1:34">
      <c r="A130" s="242" t="s">
        <v>1089</v>
      </c>
      <c r="B130" s="338" t="s">
        <v>575</v>
      </c>
      <c r="C130" s="594" t="s">
        <v>562</v>
      </c>
      <c r="D130" s="337" t="s">
        <v>1094</v>
      </c>
      <c r="E130" s="337" t="s">
        <v>1094</v>
      </c>
      <c r="F130" s="337" t="s">
        <v>883</v>
      </c>
      <c r="G130" s="337" t="s">
        <v>1094</v>
      </c>
      <c r="H130" s="337" t="s">
        <v>1094</v>
      </c>
      <c r="I130" s="337" t="s">
        <v>883</v>
      </c>
      <c r="J130" s="337" t="s">
        <v>883</v>
      </c>
      <c r="K130" s="278">
        <v>5.6249999999999998E-3</v>
      </c>
      <c r="L130" s="278" t="s">
        <v>1094</v>
      </c>
      <c r="M130" s="278" t="s">
        <v>1094</v>
      </c>
      <c r="N130" s="278" t="s">
        <v>1094</v>
      </c>
      <c r="O130" s="278" t="s">
        <v>1094</v>
      </c>
      <c r="P130" s="278" t="s">
        <v>1094</v>
      </c>
      <c r="Q130" s="278" t="s">
        <v>1094</v>
      </c>
      <c r="R130" s="278" t="s">
        <v>1094</v>
      </c>
      <c r="S130" s="278" t="s">
        <v>1094</v>
      </c>
      <c r="T130" s="278" t="s">
        <v>1094</v>
      </c>
      <c r="U130" s="278" t="s">
        <v>1094</v>
      </c>
    </row>
    <row r="131" spans="1:34">
      <c r="A131" s="242" t="s">
        <v>1089</v>
      </c>
      <c r="B131" s="593" t="s">
        <v>11269</v>
      </c>
      <c r="C131" s="640" t="s">
        <v>10185</v>
      </c>
      <c r="D131" s="337" t="s">
        <v>883</v>
      </c>
      <c r="E131" s="337" t="s">
        <v>1094</v>
      </c>
      <c r="F131" s="337" t="s">
        <v>883</v>
      </c>
      <c r="G131" s="337" t="s">
        <v>883</v>
      </c>
      <c r="H131" s="337" t="s">
        <v>883</v>
      </c>
      <c r="I131" s="337" t="s">
        <v>883</v>
      </c>
      <c r="J131" s="337" t="s">
        <v>1094</v>
      </c>
      <c r="K131" s="278">
        <v>3.5094745273275299E-6</v>
      </c>
      <c r="L131" s="337" t="s">
        <v>1094</v>
      </c>
      <c r="M131" s="337" t="s">
        <v>1094</v>
      </c>
      <c r="N131" s="337" t="s">
        <v>1094</v>
      </c>
      <c r="O131" s="337" t="s">
        <v>1094</v>
      </c>
      <c r="P131" s="337" t="s">
        <v>1094</v>
      </c>
      <c r="Q131" s="337" t="s">
        <v>1094</v>
      </c>
      <c r="R131" s="337" t="s">
        <v>1094</v>
      </c>
      <c r="S131" s="337" t="s">
        <v>1094</v>
      </c>
      <c r="T131" s="337" t="s">
        <v>1094</v>
      </c>
      <c r="U131" s="337" t="s">
        <v>1094</v>
      </c>
    </row>
    <row r="132" spans="1:34">
      <c r="A132" s="242" t="s">
        <v>1089</v>
      </c>
      <c r="B132" s="593" t="s">
        <v>11270</v>
      </c>
      <c r="C132" s="640" t="s">
        <v>10296</v>
      </c>
      <c r="D132" s="337" t="s">
        <v>1094</v>
      </c>
      <c r="E132" s="337" t="s">
        <v>1094</v>
      </c>
      <c r="F132" s="337" t="s">
        <v>883</v>
      </c>
      <c r="G132" s="337" t="s">
        <v>883</v>
      </c>
      <c r="H132" s="337" t="s">
        <v>1094</v>
      </c>
      <c r="I132" s="337" t="s">
        <v>883</v>
      </c>
      <c r="J132" s="337" t="s">
        <v>1094</v>
      </c>
      <c r="K132" s="278">
        <v>0.14023437499999999</v>
      </c>
      <c r="L132" s="337" t="s">
        <v>1094</v>
      </c>
      <c r="M132" s="337" t="s">
        <v>1094</v>
      </c>
      <c r="N132" s="337" t="s">
        <v>1094</v>
      </c>
      <c r="O132" s="337" t="s">
        <v>1094</v>
      </c>
      <c r="P132" s="337" t="s">
        <v>1094</v>
      </c>
      <c r="Q132" s="337" t="s">
        <v>1094</v>
      </c>
      <c r="R132" s="337" t="s">
        <v>1094</v>
      </c>
      <c r="S132" s="337" t="s">
        <v>1094</v>
      </c>
      <c r="T132" s="337" t="s">
        <v>1094</v>
      </c>
      <c r="U132" s="337" t="s">
        <v>1094</v>
      </c>
    </row>
    <row r="133" spans="1:34">
      <c r="A133" s="242" t="s">
        <v>1089</v>
      </c>
      <c r="B133" s="338" t="s">
        <v>844</v>
      </c>
      <c r="C133" s="594" t="s">
        <v>267</v>
      </c>
      <c r="D133" s="337" t="s">
        <v>1094</v>
      </c>
      <c r="E133" s="337" t="s">
        <v>883</v>
      </c>
      <c r="F133" s="337" t="s">
        <v>883</v>
      </c>
      <c r="G133" s="337" t="s">
        <v>1094</v>
      </c>
      <c r="H133" s="337" t="s">
        <v>1094</v>
      </c>
      <c r="I133" s="337" t="s">
        <v>883</v>
      </c>
      <c r="J133" s="337" t="s">
        <v>883</v>
      </c>
      <c r="K133" s="278">
        <v>5.6249999999999998E-3</v>
      </c>
      <c r="L133" s="278" t="s">
        <v>883</v>
      </c>
      <c r="M133" s="278" t="s">
        <v>1094</v>
      </c>
      <c r="N133" s="278" t="s">
        <v>883</v>
      </c>
      <c r="O133" s="278" t="s">
        <v>883</v>
      </c>
      <c r="P133" s="278" t="s">
        <v>1094</v>
      </c>
      <c r="Q133" s="278" t="s">
        <v>1094</v>
      </c>
      <c r="R133" s="278" t="s">
        <v>883</v>
      </c>
      <c r="S133" s="278" t="s">
        <v>883</v>
      </c>
      <c r="T133" s="278" t="s">
        <v>1094</v>
      </c>
      <c r="U133" s="278" t="s">
        <v>883</v>
      </c>
      <c r="Y133" s="627">
        <v>40</v>
      </c>
      <c r="Z133" s="618">
        <v>640</v>
      </c>
      <c r="AA133" s="616">
        <v>43000</v>
      </c>
      <c r="AH133" s="479" t="s">
        <v>1060</v>
      </c>
    </row>
    <row r="134" spans="1:34">
      <c r="A134" s="242" t="s">
        <v>1089</v>
      </c>
      <c r="B134" s="338" t="s">
        <v>552</v>
      </c>
      <c r="C134" s="594" t="s">
        <v>269</v>
      </c>
      <c r="D134" s="337" t="s">
        <v>883</v>
      </c>
      <c r="E134" s="337" t="s">
        <v>883</v>
      </c>
      <c r="F134" s="337" t="s">
        <v>1094</v>
      </c>
      <c r="G134" s="337" t="s">
        <v>883</v>
      </c>
      <c r="H134" s="337" t="s">
        <v>883</v>
      </c>
      <c r="I134" s="337" t="s">
        <v>1094</v>
      </c>
      <c r="J134" s="337" t="s">
        <v>883</v>
      </c>
      <c r="K134" s="278">
        <v>4.0584415584415581E-3</v>
      </c>
      <c r="L134" s="278" t="s">
        <v>883</v>
      </c>
      <c r="M134" s="278" t="s">
        <v>883</v>
      </c>
      <c r="N134" s="278" t="s">
        <v>883</v>
      </c>
      <c r="O134" s="278" t="s">
        <v>1094</v>
      </c>
      <c r="P134" s="278" t="s">
        <v>1094</v>
      </c>
      <c r="Q134" s="278" t="s">
        <v>1094</v>
      </c>
      <c r="R134" s="278" t="s">
        <v>883</v>
      </c>
      <c r="S134" s="278" t="s">
        <v>883</v>
      </c>
      <c r="T134" s="278" t="s">
        <v>883</v>
      </c>
      <c r="U134" s="278" t="s">
        <v>883</v>
      </c>
      <c r="Y134" s="627">
        <v>80</v>
      </c>
      <c r="Z134" s="618">
        <v>1280</v>
      </c>
      <c r="AA134" s="616">
        <v>12500</v>
      </c>
      <c r="AH134" s="479" t="s">
        <v>1060</v>
      </c>
    </row>
    <row r="135" spans="1:34">
      <c r="A135" s="242" t="s">
        <v>1089</v>
      </c>
      <c r="B135" s="593" t="s">
        <v>11271</v>
      </c>
      <c r="C135" s="640" t="s">
        <v>9501</v>
      </c>
      <c r="D135" s="337" t="s">
        <v>883</v>
      </c>
      <c r="E135" s="337" t="s">
        <v>1094</v>
      </c>
      <c r="F135" s="337" t="s">
        <v>1094</v>
      </c>
      <c r="G135" s="337" t="s">
        <v>883</v>
      </c>
      <c r="H135" s="337" t="s">
        <v>1094</v>
      </c>
      <c r="I135" s="337" t="s">
        <v>883</v>
      </c>
      <c r="J135" s="337" t="s">
        <v>1094</v>
      </c>
      <c r="K135" s="278">
        <v>4.3978315094946898E-4</v>
      </c>
      <c r="L135" s="337" t="s">
        <v>883</v>
      </c>
      <c r="M135" s="337" t="s">
        <v>1094</v>
      </c>
      <c r="N135" s="337" t="s">
        <v>1094</v>
      </c>
      <c r="O135" s="337" t="s">
        <v>1094</v>
      </c>
      <c r="P135" s="337" t="s">
        <v>1094</v>
      </c>
      <c r="Q135" s="337" t="s">
        <v>883</v>
      </c>
      <c r="R135" s="337" t="s">
        <v>1094</v>
      </c>
      <c r="S135" s="337" t="s">
        <v>1094</v>
      </c>
      <c r="T135" s="337" t="s">
        <v>1094</v>
      </c>
      <c r="U135" s="337" t="s">
        <v>1094</v>
      </c>
      <c r="Y135" s="627">
        <v>30</v>
      </c>
      <c r="Z135" s="618">
        <v>450</v>
      </c>
      <c r="AA135" s="616">
        <v>22000</v>
      </c>
      <c r="AH135" s="479" t="s">
        <v>1060</v>
      </c>
    </row>
    <row r="136" spans="1:34">
      <c r="A136" s="242" t="s">
        <v>1089</v>
      </c>
      <c r="B136" s="338" t="s">
        <v>550</v>
      </c>
      <c r="C136" s="594" t="s">
        <v>266</v>
      </c>
      <c r="D136" s="337" t="s">
        <v>883</v>
      </c>
      <c r="E136" s="337" t="s">
        <v>1094</v>
      </c>
      <c r="F136" s="337" t="s">
        <v>1094</v>
      </c>
      <c r="G136" s="337" t="s">
        <v>883</v>
      </c>
      <c r="H136" s="337" t="s">
        <v>1094</v>
      </c>
      <c r="I136" s="337" t="s">
        <v>1094</v>
      </c>
      <c r="J136" s="337" t="s">
        <v>1094</v>
      </c>
      <c r="K136" s="278">
        <v>2.9605263157894735E-2</v>
      </c>
      <c r="L136" s="278" t="s">
        <v>1094</v>
      </c>
      <c r="M136" s="278" t="s">
        <v>1094</v>
      </c>
      <c r="N136" s="278" t="s">
        <v>1094</v>
      </c>
      <c r="O136" s="278" t="s">
        <v>1094</v>
      </c>
      <c r="P136" s="278" t="s">
        <v>1094</v>
      </c>
      <c r="Q136" s="278" t="s">
        <v>1094</v>
      </c>
      <c r="R136" s="278" t="s">
        <v>1094</v>
      </c>
      <c r="S136" s="278" t="s">
        <v>1094</v>
      </c>
      <c r="T136" s="278" t="s">
        <v>1094</v>
      </c>
      <c r="U136" s="278" t="s">
        <v>1094</v>
      </c>
      <c r="Y136" s="627">
        <v>40</v>
      </c>
      <c r="Z136" s="618">
        <v>640</v>
      </c>
      <c r="AA136" s="616">
        <v>49000</v>
      </c>
      <c r="AH136" s="479" t="s">
        <v>1060</v>
      </c>
    </row>
    <row r="137" spans="1:34">
      <c r="A137" s="242" t="s">
        <v>1089</v>
      </c>
      <c r="B137" s="530" t="s">
        <v>11160</v>
      </c>
      <c r="C137" s="552" t="s">
        <v>11161</v>
      </c>
      <c r="D137" s="553" t="s">
        <v>883</v>
      </c>
      <c r="E137" s="547" t="s">
        <v>1094</v>
      </c>
      <c r="F137" s="547" t="s">
        <v>1094</v>
      </c>
      <c r="G137" s="547" t="s">
        <v>1094</v>
      </c>
      <c r="H137" s="548" t="s">
        <v>1094</v>
      </c>
      <c r="I137" s="547" t="s">
        <v>883</v>
      </c>
      <c r="J137" s="548" t="s">
        <v>1094</v>
      </c>
      <c r="K137" s="278">
        <v>1.7647058823529412E-3</v>
      </c>
      <c r="L137" s="547" t="s">
        <v>883</v>
      </c>
      <c r="M137" s="547" t="s">
        <v>1094</v>
      </c>
      <c r="N137" s="547" t="s">
        <v>1094</v>
      </c>
      <c r="O137" s="547" t="s">
        <v>1094</v>
      </c>
      <c r="P137" s="547" t="s">
        <v>1094</v>
      </c>
      <c r="Q137" s="547" t="s">
        <v>883</v>
      </c>
      <c r="R137" s="547" t="s">
        <v>1094</v>
      </c>
      <c r="S137" s="533" t="s">
        <v>1094</v>
      </c>
      <c r="T137" s="547" t="s">
        <v>883</v>
      </c>
      <c r="U137" s="547" t="s">
        <v>1094</v>
      </c>
      <c r="Y137" s="627">
        <v>30</v>
      </c>
      <c r="Z137" s="618">
        <v>480</v>
      </c>
      <c r="AA137" s="616">
        <v>12500</v>
      </c>
      <c r="AH137" s="479" t="s">
        <v>1060</v>
      </c>
    </row>
    <row r="138" spans="1:34">
      <c r="A138" s="242" t="s">
        <v>1089</v>
      </c>
      <c r="B138" s="297" t="s">
        <v>546</v>
      </c>
      <c r="C138" s="594" t="s">
        <v>262</v>
      </c>
      <c r="D138" s="337" t="s">
        <v>1094</v>
      </c>
      <c r="E138" s="337" t="s">
        <v>883</v>
      </c>
      <c r="F138" s="337" t="s">
        <v>883</v>
      </c>
      <c r="G138" s="337" t="s">
        <v>1094</v>
      </c>
      <c r="H138" s="337" t="s">
        <v>883</v>
      </c>
      <c r="I138" s="337" t="s">
        <v>883</v>
      </c>
      <c r="J138" s="337" t="s">
        <v>883</v>
      </c>
      <c r="K138" s="278">
        <v>7.1364706908583393E-4</v>
      </c>
      <c r="L138" s="278" t="s">
        <v>883</v>
      </c>
      <c r="M138" s="278" t="s">
        <v>883</v>
      </c>
      <c r="N138" s="278" t="s">
        <v>883</v>
      </c>
      <c r="O138" s="278" t="s">
        <v>1094</v>
      </c>
      <c r="P138" s="278" t="s">
        <v>1094</v>
      </c>
      <c r="Q138" s="278" t="s">
        <v>883</v>
      </c>
      <c r="R138" s="278" t="s">
        <v>883</v>
      </c>
      <c r="S138" s="278" t="s">
        <v>883</v>
      </c>
      <c r="T138" s="278" t="s">
        <v>883</v>
      </c>
      <c r="U138" s="278" t="s">
        <v>883</v>
      </c>
      <c r="Y138" s="627">
        <v>30</v>
      </c>
      <c r="Z138" s="618">
        <v>450</v>
      </c>
      <c r="AA138" s="616">
        <v>7500</v>
      </c>
    </row>
    <row r="139" spans="1:34">
      <c r="A139" s="242" t="s">
        <v>1089</v>
      </c>
      <c r="B139" s="593" t="s">
        <v>11272</v>
      </c>
      <c r="C139" s="640" t="s">
        <v>9556</v>
      </c>
      <c r="D139" s="337" t="s">
        <v>883</v>
      </c>
      <c r="E139" s="337" t="s">
        <v>1094</v>
      </c>
      <c r="F139" s="337" t="s">
        <v>883</v>
      </c>
      <c r="G139" s="337" t="s">
        <v>883</v>
      </c>
      <c r="H139" s="337" t="s">
        <v>883</v>
      </c>
      <c r="I139" s="337" t="s">
        <v>883</v>
      </c>
      <c r="J139" s="337" t="s">
        <v>1094</v>
      </c>
      <c r="K139" s="278">
        <v>0.13999999999999999</v>
      </c>
      <c r="L139" s="337" t="s">
        <v>1094</v>
      </c>
      <c r="M139" s="337" t="s">
        <v>1094</v>
      </c>
      <c r="N139" s="337" t="s">
        <v>1094</v>
      </c>
      <c r="O139" s="337" t="s">
        <v>1094</v>
      </c>
      <c r="P139" s="337" t="s">
        <v>1094</v>
      </c>
      <c r="Q139" s="337" t="s">
        <v>1094</v>
      </c>
      <c r="R139" s="337" t="s">
        <v>1094</v>
      </c>
      <c r="S139" s="337" t="s">
        <v>1094</v>
      </c>
      <c r="T139" s="337" t="s">
        <v>1094</v>
      </c>
      <c r="U139" s="337" t="s">
        <v>1094</v>
      </c>
      <c r="Y139" s="627">
        <v>30</v>
      </c>
      <c r="Z139" s="618">
        <v>480</v>
      </c>
      <c r="AA139" s="616">
        <v>37000</v>
      </c>
      <c r="AH139" s="479" t="s">
        <v>1060</v>
      </c>
    </row>
    <row r="140" spans="1:34">
      <c r="A140" s="242" t="s">
        <v>1089</v>
      </c>
      <c r="B140" s="593" t="s">
        <v>11273</v>
      </c>
      <c r="C140" s="640" t="s">
        <v>9543</v>
      </c>
      <c r="D140" s="337" t="s">
        <v>883</v>
      </c>
      <c r="E140" s="337" t="s">
        <v>1094</v>
      </c>
      <c r="F140" s="337" t="s">
        <v>883</v>
      </c>
      <c r="G140" s="337" t="s">
        <v>883</v>
      </c>
      <c r="H140" s="337" t="s">
        <v>1094</v>
      </c>
      <c r="I140" s="337" t="s">
        <v>883</v>
      </c>
      <c r="J140" s="337" t="s">
        <v>1094</v>
      </c>
      <c r="K140" s="278">
        <v>0.31093749999999998</v>
      </c>
      <c r="L140" s="337" t="s">
        <v>883</v>
      </c>
      <c r="M140" s="337" t="s">
        <v>883</v>
      </c>
      <c r="N140" s="337" t="s">
        <v>883</v>
      </c>
      <c r="O140" s="337" t="s">
        <v>883</v>
      </c>
      <c r="P140" s="337" t="s">
        <v>883</v>
      </c>
      <c r="Q140" s="337" t="s">
        <v>883</v>
      </c>
      <c r="R140" s="337" t="s">
        <v>883</v>
      </c>
      <c r="S140" s="337" t="s">
        <v>1094</v>
      </c>
      <c r="T140" s="337" t="s">
        <v>883</v>
      </c>
      <c r="U140" s="337" t="s">
        <v>883</v>
      </c>
      <c r="Y140" s="627">
        <v>80</v>
      </c>
      <c r="Z140" s="618">
        <v>1280</v>
      </c>
      <c r="AA140" s="616">
        <v>44000</v>
      </c>
    </row>
    <row r="141" spans="1:34">
      <c r="A141" s="242" t="s">
        <v>1089</v>
      </c>
      <c r="B141" s="281" t="s">
        <v>1312</v>
      </c>
      <c r="C141" s="594" t="s">
        <v>838</v>
      </c>
      <c r="D141" s="337" t="s">
        <v>1094</v>
      </c>
      <c r="E141" s="337" t="s">
        <v>1094</v>
      </c>
      <c r="F141" s="337" t="s">
        <v>883</v>
      </c>
      <c r="G141" s="337" t="s">
        <v>1094</v>
      </c>
      <c r="H141" s="337" t="s">
        <v>1094</v>
      </c>
      <c r="I141" s="337" t="s">
        <v>883</v>
      </c>
      <c r="J141" s="337" t="s">
        <v>1094</v>
      </c>
      <c r="K141" s="278">
        <v>2.8571428571428574E-4</v>
      </c>
      <c r="L141" s="278" t="s">
        <v>883</v>
      </c>
      <c r="M141" s="278" t="s">
        <v>883</v>
      </c>
      <c r="N141" s="278" t="s">
        <v>883</v>
      </c>
      <c r="O141" s="278" t="s">
        <v>883</v>
      </c>
      <c r="P141" s="278" t="s">
        <v>883</v>
      </c>
      <c r="Q141" s="278" t="s">
        <v>883</v>
      </c>
      <c r="R141" s="278" t="s">
        <v>1094</v>
      </c>
      <c r="S141" s="278" t="s">
        <v>1094</v>
      </c>
      <c r="T141" s="278" t="s">
        <v>1094</v>
      </c>
      <c r="U141" s="278" t="s">
        <v>883</v>
      </c>
      <c r="Y141" s="627">
        <v>30</v>
      </c>
      <c r="Z141" s="618">
        <v>480</v>
      </c>
      <c r="AA141" s="616">
        <v>5300</v>
      </c>
    </row>
    <row r="142" spans="1:34">
      <c r="A142" s="242" t="s">
        <v>1089</v>
      </c>
      <c r="B142" s="297" t="s">
        <v>847</v>
      </c>
      <c r="C142" s="594" t="s">
        <v>268</v>
      </c>
      <c r="D142" s="337" t="s">
        <v>883</v>
      </c>
      <c r="E142" s="337" t="s">
        <v>883</v>
      </c>
      <c r="F142" s="337" t="s">
        <v>1094</v>
      </c>
      <c r="G142" s="337" t="s">
        <v>1094</v>
      </c>
      <c r="H142" s="337" t="s">
        <v>1094</v>
      </c>
      <c r="I142" s="337" t="s">
        <v>1094</v>
      </c>
      <c r="J142" s="337" t="s">
        <v>1094</v>
      </c>
      <c r="K142" s="278">
        <v>3.2181571815718159E-3</v>
      </c>
      <c r="L142" s="278" t="s">
        <v>1094</v>
      </c>
      <c r="M142" s="278" t="s">
        <v>1094</v>
      </c>
      <c r="N142" s="278" t="s">
        <v>1094</v>
      </c>
      <c r="O142" s="278" t="s">
        <v>1094</v>
      </c>
      <c r="P142" s="278" t="s">
        <v>1094</v>
      </c>
      <c r="Q142" s="278" t="s">
        <v>1094</v>
      </c>
      <c r="R142" s="278" t="s">
        <v>1094</v>
      </c>
      <c r="S142" s="278" t="s">
        <v>1094</v>
      </c>
      <c r="T142" s="278" t="s">
        <v>1094</v>
      </c>
      <c r="U142" s="278" t="s">
        <v>1094</v>
      </c>
      <c r="Y142" s="627">
        <v>20</v>
      </c>
      <c r="Z142" s="618">
        <v>300</v>
      </c>
      <c r="AA142" s="616">
        <v>310000</v>
      </c>
    </row>
    <row r="143" spans="1:34">
      <c r="A143" s="337" t="s">
        <v>1089</v>
      </c>
      <c r="B143" s="593" t="s">
        <v>11274</v>
      </c>
      <c r="C143" s="640" t="s">
        <v>9384</v>
      </c>
      <c r="D143" s="337" t="s">
        <v>883</v>
      </c>
      <c r="E143" s="337" t="s">
        <v>1094</v>
      </c>
      <c r="F143" s="337" t="s">
        <v>1094</v>
      </c>
      <c r="G143" s="337" t="s">
        <v>883</v>
      </c>
      <c r="H143" s="337" t="s">
        <v>883</v>
      </c>
      <c r="I143" s="337" t="s">
        <v>883</v>
      </c>
      <c r="J143" s="337" t="s">
        <v>1094</v>
      </c>
      <c r="K143" s="278">
        <v>4.0501237623762378E-2</v>
      </c>
      <c r="L143" s="337" t="s">
        <v>1094</v>
      </c>
      <c r="M143" s="337" t="s">
        <v>1094</v>
      </c>
      <c r="N143" s="337" t="s">
        <v>1094</v>
      </c>
      <c r="O143" s="337" t="s">
        <v>1094</v>
      </c>
      <c r="P143" s="337" t="s">
        <v>1094</v>
      </c>
      <c r="Q143" s="337" t="s">
        <v>1094</v>
      </c>
      <c r="R143" s="337" t="s">
        <v>1094</v>
      </c>
      <c r="S143" s="337" t="s">
        <v>1094</v>
      </c>
      <c r="T143" s="337" t="s">
        <v>1094</v>
      </c>
      <c r="U143" s="337" t="s">
        <v>1094</v>
      </c>
    </row>
    <row r="144" spans="1:34">
      <c r="A144" s="242" t="s">
        <v>1089</v>
      </c>
      <c r="B144" s="297" t="s">
        <v>586</v>
      </c>
      <c r="C144" s="594" t="s">
        <v>588</v>
      </c>
      <c r="D144" s="337" t="s">
        <v>1094</v>
      </c>
      <c r="E144" s="337" t="s">
        <v>883</v>
      </c>
      <c r="F144" s="337" t="s">
        <v>883</v>
      </c>
      <c r="G144" s="337" t="s">
        <v>1094</v>
      </c>
      <c r="H144" s="337" t="s">
        <v>883</v>
      </c>
      <c r="I144" s="337" t="s">
        <v>883</v>
      </c>
      <c r="J144" s="337" t="s">
        <v>883</v>
      </c>
      <c r="K144" s="278">
        <v>1.5625000000000001E-3</v>
      </c>
      <c r="L144" s="278" t="s">
        <v>883</v>
      </c>
      <c r="M144" s="278" t="s">
        <v>883</v>
      </c>
      <c r="N144" s="278" t="s">
        <v>883</v>
      </c>
      <c r="O144" s="278" t="s">
        <v>883</v>
      </c>
      <c r="P144" s="278" t="s">
        <v>883</v>
      </c>
      <c r="Q144" s="278" t="s">
        <v>1094</v>
      </c>
      <c r="R144" s="278" t="s">
        <v>883</v>
      </c>
      <c r="S144" s="278" t="s">
        <v>883</v>
      </c>
      <c r="T144" s="278" t="s">
        <v>1094</v>
      </c>
      <c r="U144" s="278" t="s">
        <v>1094</v>
      </c>
    </row>
    <row r="145" spans="1:26">
      <c r="A145" s="242" t="s">
        <v>1089</v>
      </c>
      <c r="B145" s="297" t="s">
        <v>839</v>
      </c>
      <c r="C145" s="594" t="s">
        <v>827</v>
      </c>
      <c r="D145" s="337" t="s">
        <v>883</v>
      </c>
      <c r="E145" s="337" t="s">
        <v>1094</v>
      </c>
      <c r="F145" s="337" t="s">
        <v>883</v>
      </c>
      <c r="G145" s="337" t="s">
        <v>883</v>
      </c>
      <c r="H145" s="337" t="s">
        <v>883</v>
      </c>
      <c r="I145" s="337" t="s">
        <v>883</v>
      </c>
      <c r="J145" s="337" t="s">
        <v>1094</v>
      </c>
      <c r="K145" s="278">
        <v>1.3635416666666667E-2</v>
      </c>
      <c r="L145" s="278" t="s">
        <v>883</v>
      </c>
      <c r="M145" s="278" t="s">
        <v>883</v>
      </c>
      <c r="N145" s="278" t="s">
        <v>1094</v>
      </c>
      <c r="O145" s="278" t="s">
        <v>883</v>
      </c>
      <c r="P145" s="278" t="s">
        <v>1094</v>
      </c>
      <c r="Q145" s="278" t="s">
        <v>883</v>
      </c>
      <c r="R145" s="278" t="s">
        <v>883</v>
      </c>
      <c r="S145" s="278" t="s">
        <v>1094</v>
      </c>
      <c r="T145" s="278" t="s">
        <v>883</v>
      </c>
      <c r="U145" s="278" t="s">
        <v>883</v>
      </c>
    </row>
    <row r="146" spans="1:26">
      <c r="A146" s="242" t="s">
        <v>1089</v>
      </c>
      <c r="B146" s="297" t="s">
        <v>578</v>
      </c>
      <c r="C146" s="594" t="s">
        <v>565</v>
      </c>
      <c r="D146" s="337" t="s">
        <v>883</v>
      </c>
      <c r="E146" s="337" t="s">
        <v>883</v>
      </c>
      <c r="F146" s="337" t="s">
        <v>1094</v>
      </c>
      <c r="G146" s="337" t="s">
        <v>1094</v>
      </c>
      <c r="H146" s="337" t="s">
        <v>1094</v>
      </c>
      <c r="I146" s="337" t="s">
        <v>1094</v>
      </c>
      <c r="J146" s="337" t="s">
        <v>883</v>
      </c>
      <c r="K146" s="278">
        <v>5.859375E-3</v>
      </c>
      <c r="L146" s="278" t="s">
        <v>883</v>
      </c>
      <c r="M146" s="278" t="s">
        <v>883</v>
      </c>
      <c r="N146" s="278" t="s">
        <v>883</v>
      </c>
      <c r="O146" s="278" t="s">
        <v>883</v>
      </c>
      <c r="P146" s="278" t="s">
        <v>883</v>
      </c>
      <c r="Q146" s="278" t="s">
        <v>883</v>
      </c>
      <c r="R146" s="278" t="s">
        <v>883</v>
      </c>
      <c r="S146" s="278" t="s">
        <v>883</v>
      </c>
      <c r="T146" s="278" t="s">
        <v>1094</v>
      </c>
      <c r="U146" s="278" t="s">
        <v>883</v>
      </c>
    </row>
    <row r="147" spans="1:26">
      <c r="A147" s="242" t="s">
        <v>1089</v>
      </c>
      <c r="B147" s="297" t="s">
        <v>573</v>
      </c>
      <c r="C147" s="594" t="s">
        <v>560</v>
      </c>
      <c r="D147" s="337" t="s">
        <v>883</v>
      </c>
      <c r="E147" s="337" t="s">
        <v>1094</v>
      </c>
      <c r="F147" s="337" t="s">
        <v>1094</v>
      </c>
      <c r="G147" s="337" t="s">
        <v>1094</v>
      </c>
      <c r="H147" s="337" t="s">
        <v>1094</v>
      </c>
      <c r="I147" s="337" t="s">
        <v>1094</v>
      </c>
      <c r="J147" s="337" t="s">
        <v>1094</v>
      </c>
      <c r="K147" s="278">
        <v>0.16026785714285713</v>
      </c>
      <c r="L147" s="278" t="s">
        <v>883</v>
      </c>
      <c r="M147" s="278" t="s">
        <v>1094</v>
      </c>
      <c r="N147" s="278" t="s">
        <v>1094</v>
      </c>
      <c r="O147" s="278" t="s">
        <v>1094</v>
      </c>
      <c r="P147" s="278" t="s">
        <v>1094</v>
      </c>
      <c r="Q147" s="278" t="s">
        <v>883</v>
      </c>
      <c r="R147" s="278" t="s">
        <v>1094</v>
      </c>
      <c r="S147" s="278" t="s">
        <v>1094</v>
      </c>
      <c r="T147" s="278" t="s">
        <v>883</v>
      </c>
      <c r="U147" s="278" t="s">
        <v>883</v>
      </c>
    </row>
    <row r="148" spans="1:26">
      <c r="A148" s="242" t="s">
        <v>1089</v>
      </c>
      <c r="B148" s="593" t="s">
        <v>11275</v>
      </c>
      <c r="C148" s="640" t="s">
        <v>10120</v>
      </c>
      <c r="D148" s="337" t="s">
        <v>883</v>
      </c>
      <c r="E148" s="337" t="s">
        <v>1094</v>
      </c>
      <c r="F148" s="337" t="s">
        <v>1094</v>
      </c>
      <c r="G148" s="337" t="s">
        <v>883</v>
      </c>
      <c r="H148" s="337" t="s">
        <v>1094</v>
      </c>
      <c r="I148" s="337" t="s">
        <v>883</v>
      </c>
      <c r="J148" s="337" t="s">
        <v>1094</v>
      </c>
      <c r="K148" s="278">
        <v>3.5504102771051921E-4</v>
      </c>
      <c r="L148" s="337" t="s">
        <v>883</v>
      </c>
      <c r="M148" s="337" t="s">
        <v>1094</v>
      </c>
      <c r="N148" s="337" t="s">
        <v>1094</v>
      </c>
      <c r="O148" s="337" t="s">
        <v>883</v>
      </c>
      <c r="P148" s="337" t="s">
        <v>1094</v>
      </c>
      <c r="Q148" s="337" t="s">
        <v>883</v>
      </c>
      <c r="R148" s="337" t="s">
        <v>1094</v>
      </c>
      <c r="S148" s="337" t="s">
        <v>1094</v>
      </c>
      <c r="T148" s="337" t="s">
        <v>1094</v>
      </c>
      <c r="U148" s="337" t="s">
        <v>1094</v>
      </c>
    </row>
    <row r="149" spans="1:26">
      <c r="A149" s="242" t="s">
        <v>1089</v>
      </c>
      <c r="B149" s="297" t="s">
        <v>582</v>
      </c>
      <c r="C149" s="594" t="s">
        <v>1298</v>
      </c>
      <c r="D149" s="337" t="s">
        <v>1094</v>
      </c>
      <c r="E149" s="337" t="s">
        <v>1094</v>
      </c>
      <c r="F149" s="337" t="s">
        <v>883</v>
      </c>
      <c r="G149" s="337" t="s">
        <v>883</v>
      </c>
      <c r="H149" s="337" t="s">
        <v>1094</v>
      </c>
      <c r="I149" s="337" t="s">
        <v>883</v>
      </c>
      <c r="J149" s="337" t="s">
        <v>883</v>
      </c>
      <c r="K149" s="278">
        <v>0.22500000000000001</v>
      </c>
      <c r="L149" s="278" t="s">
        <v>1094</v>
      </c>
      <c r="M149" s="278" t="s">
        <v>1094</v>
      </c>
      <c r="N149" s="278" t="s">
        <v>1094</v>
      </c>
      <c r="O149" s="278" t="s">
        <v>1094</v>
      </c>
      <c r="P149" s="278" t="s">
        <v>1094</v>
      </c>
      <c r="Q149" s="278" t="s">
        <v>1094</v>
      </c>
      <c r="R149" s="278" t="s">
        <v>1094</v>
      </c>
      <c r="S149" s="278" t="s">
        <v>1094</v>
      </c>
      <c r="T149" s="278" t="s">
        <v>1094</v>
      </c>
      <c r="U149" s="278" t="s">
        <v>1094</v>
      </c>
    </row>
    <row r="150" spans="1:26">
      <c r="A150" s="242" t="s">
        <v>1089</v>
      </c>
      <c r="B150" s="297" t="s">
        <v>570</v>
      </c>
      <c r="C150" s="594" t="s">
        <v>557</v>
      </c>
      <c r="D150" s="337" t="s">
        <v>1094</v>
      </c>
      <c r="E150" s="337" t="s">
        <v>883</v>
      </c>
      <c r="F150" s="337" t="s">
        <v>883</v>
      </c>
      <c r="G150" s="337" t="s">
        <v>1094</v>
      </c>
      <c r="H150" s="337" t="s">
        <v>1094</v>
      </c>
      <c r="I150" s="337" t="s">
        <v>883</v>
      </c>
      <c r="J150" s="337" t="s">
        <v>883</v>
      </c>
      <c r="K150" s="278">
        <v>5.1948051948051951E-2</v>
      </c>
      <c r="L150" s="278" t="s">
        <v>883</v>
      </c>
      <c r="M150" s="278" t="s">
        <v>883</v>
      </c>
      <c r="N150" s="278" t="s">
        <v>883</v>
      </c>
      <c r="O150" s="278" t="s">
        <v>1094</v>
      </c>
      <c r="P150" s="278" t="s">
        <v>883</v>
      </c>
      <c r="Q150" s="278" t="s">
        <v>1094</v>
      </c>
      <c r="R150" s="278" t="s">
        <v>883</v>
      </c>
      <c r="S150" s="278" t="s">
        <v>883</v>
      </c>
      <c r="T150" s="278" t="s">
        <v>883</v>
      </c>
      <c r="U150" s="278" t="s">
        <v>883</v>
      </c>
    </row>
    <row r="151" spans="1:26">
      <c r="A151" s="242" t="s">
        <v>1089</v>
      </c>
      <c r="B151" s="297" t="s">
        <v>1</v>
      </c>
      <c r="C151" s="594" t="s">
        <v>276</v>
      </c>
      <c r="D151" s="337" t="s">
        <v>883</v>
      </c>
      <c r="E151" s="337" t="s">
        <v>1094</v>
      </c>
      <c r="F151" s="337" t="s">
        <v>883</v>
      </c>
      <c r="G151" s="337" t="s">
        <v>883</v>
      </c>
      <c r="H151" s="337" t="s">
        <v>883</v>
      </c>
      <c r="I151" s="337" t="s">
        <v>883</v>
      </c>
      <c r="J151" s="337" t="s">
        <v>1094</v>
      </c>
      <c r="K151" s="278">
        <v>1.171875E-3</v>
      </c>
      <c r="L151" s="278" t="s">
        <v>1094</v>
      </c>
      <c r="M151" s="278" t="s">
        <v>1094</v>
      </c>
      <c r="N151" s="278" t="s">
        <v>1094</v>
      </c>
      <c r="O151" s="278" t="s">
        <v>1094</v>
      </c>
      <c r="P151" s="278" t="s">
        <v>1094</v>
      </c>
      <c r="Q151" s="278" t="s">
        <v>1094</v>
      </c>
      <c r="R151" s="278" t="s">
        <v>1094</v>
      </c>
      <c r="S151" s="278" t="s">
        <v>1094</v>
      </c>
      <c r="T151" s="278" t="s">
        <v>1094</v>
      </c>
      <c r="U151" s="278" t="s">
        <v>1094</v>
      </c>
    </row>
    <row r="152" spans="1:26">
      <c r="A152" s="242" t="s">
        <v>1089</v>
      </c>
      <c r="B152" s="593" t="s">
        <v>11276</v>
      </c>
      <c r="C152" s="640" t="s">
        <v>10258</v>
      </c>
      <c r="D152" s="337" t="s">
        <v>1094</v>
      </c>
      <c r="E152" s="337" t="s">
        <v>1094</v>
      </c>
      <c r="F152" s="337" t="s">
        <v>883</v>
      </c>
      <c r="G152" s="337" t="s">
        <v>883</v>
      </c>
      <c r="H152" s="337" t="s">
        <v>1094</v>
      </c>
      <c r="I152" s="337" t="s">
        <v>883</v>
      </c>
      <c r="J152" s="337" t="s">
        <v>1094</v>
      </c>
      <c r="K152" s="278">
        <v>0.22437499999999999</v>
      </c>
      <c r="L152" s="337" t="s">
        <v>883</v>
      </c>
      <c r="M152" s="337" t="s">
        <v>1094</v>
      </c>
      <c r="N152" s="337" t="s">
        <v>1094</v>
      </c>
      <c r="O152" s="337" t="s">
        <v>1094</v>
      </c>
      <c r="P152" s="337" t="s">
        <v>1094</v>
      </c>
      <c r="Q152" s="337" t="s">
        <v>883</v>
      </c>
      <c r="R152" s="337" t="s">
        <v>1094</v>
      </c>
      <c r="S152" s="337" t="s">
        <v>1094</v>
      </c>
      <c r="T152" s="337" t="s">
        <v>1094</v>
      </c>
      <c r="U152" s="337" t="s">
        <v>1094</v>
      </c>
    </row>
    <row r="153" spans="1:26">
      <c r="A153" s="242" t="s">
        <v>1089</v>
      </c>
      <c r="B153" s="297" t="s">
        <v>555</v>
      </c>
      <c r="C153" s="594" t="s">
        <v>836</v>
      </c>
      <c r="D153" s="337" t="s">
        <v>883</v>
      </c>
      <c r="E153" s="337" t="s">
        <v>1094</v>
      </c>
      <c r="F153" s="337" t="s">
        <v>1094</v>
      </c>
      <c r="G153" s="337" t="s">
        <v>883</v>
      </c>
      <c r="H153" s="337" t="s">
        <v>883</v>
      </c>
      <c r="I153" s="337" t="s">
        <v>883</v>
      </c>
      <c r="J153" s="337" t="s">
        <v>1094</v>
      </c>
      <c r="K153" s="278">
        <v>0.13020833333333334</v>
      </c>
      <c r="L153" s="278" t="s">
        <v>883</v>
      </c>
      <c r="M153" s="278" t="s">
        <v>883</v>
      </c>
      <c r="N153" s="278" t="s">
        <v>883</v>
      </c>
      <c r="O153" s="278" t="s">
        <v>883</v>
      </c>
      <c r="P153" s="278" t="s">
        <v>883</v>
      </c>
      <c r="Q153" s="278" t="s">
        <v>1094</v>
      </c>
      <c r="R153" s="278" t="s">
        <v>883</v>
      </c>
      <c r="S153" s="278" t="s">
        <v>883</v>
      </c>
      <c r="T153" s="278" t="s">
        <v>883</v>
      </c>
      <c r="U153" s="278" t="s">
        <v>883</v>
      </c>
    </row>
    <row r="154" spans="1:26">
      <c r="A154" s="242" t="s">
        <v>1089</v>
      </c>
      <c r="B154" s="297" t="s">
        <v>554</v>
      </c>
      <c r="C154" s="594" t="s">
        <v>835</v>
      </c>
      <c r="D154" s="337" t="s">
        <v>1094</v>
      </c>
      <c r="E154" s="337" t="s">
        <v>1094</v>
      </c>
      <c r="F154" s="337" t="s">
        <v>883</v>
      </c>
      <c r="G154" s="337" t="s">
        <v>883</v>
      </c>
      <c r="H154" s="337" t="s">
        <v>1094</v>
      </c>
      <c r="I154" s="337" t="s">
        <v>883</v>
      </c>
      <c r="J154" s="337" t="s">
        <v>1094</v>
      </c>
      <c r="K154" s="278">
        <v>3.3482142857142855E-3</v>
      </c>
      <c r="L154" s="278" t="s">
        <v>883</v>
      </c>
      <c r="M154" s="278" t="s">
        <v>883</v>
      </c>
      <c r="N154" s="278" t="s">
        <v>883</v>
      </c>
      <c r="O154" s="278" t="s">
        <v>883</v>
      </c>
      <c r="P154" s="278" t="s">
        <v>883</v>
      </c>
      <c r="Q154" s="278" t="s">
        <v>1094</v>
      </c>
      <c r="R154" s="278" t="s">
        <v>883</v>
      </c>
      <c r="S154" s="278" t="s">
        <v>883</v>
      </c>
      <c r="T154" s="278" t="s">
        <v>883</v>
      </c>
      <c r="U154" s="278" t="s">
        <v>883</v>
      </c>
    </row>
    <row r="155" spans="1:26">
      <c r="A155" s="242" t="s">
        <v>1089</v>
      </c>
      <c r="B155" s="593" t="s">
        <v>11249</v>
      </c>
      <c r="C155" s="640" t="s">
        <v>11250</v>
      </c>
      <c r="D155" s="337" t="s">
        <v>883</v>
      </c>
      <c r="E155" s="337" t="s">
        <v>1094</v>
      </c>
      <c r="F155" s="337" t="s">
        <v>1094</v>
      </c>
      <c r="G155" s="337" t="s">
        <v>883</v>
      </c>
      <c r="H155" s="337" t="s">
        <v>1094</v>
      </c>
      <c r="I155" s="337" t="s">
        <v>1094</v>
      </c>
      <c r="J155" s="337" t="s">
        <v>1094</v>
      </c>
      <c r="K155" s="278">
        <v>6.8981871838111298E-4</v>
      </c>
      <c r="L155" s="337" t="s">
        <v>883</v>
      </c>
      <c r="M155" s="337" t="s">
        <v>883</v>
      </c>
      <c r="N155" s="337" t="s">
        <v>1094</v>
      </c>
      <c r="O155" s="337" t="s">
        <v>1094</v>
      </c>
      <c r="P155" s="337" t="s">
        <v>1094</v>
      </c>
      <c r="Q155" s="337" t="s">
        <v>883</v>
      </c>
      <c r="R155" s="337" t="s">
        <v>883</v>
      </c>
      <c r="S155" s="337" t="s">
        <v>883</v>
      </c>
      <c r="T155" s="337" t="s">
        <v>883</v>
      </c>
      <c r="U155" s="337" t="s">
        <v>883</v>
      </c>
      <c r="Y155" s="627">
        <v>80</v>
      </c>
      <c r="Z155" s="618">
        <v>1280</v>
      </c>
    </row>
    <row r="180" spans="25:26">
      <c r="Y180" s="627">
        <v>8</v>
      </c>
      <c r="Z180" s="618">
        <v>120</v>
      </c>
    </row>
    <row r="204" spans="25:26">
      <c r="Y204" s="627">
        <v>6</v>
      </c>
      <c r="Z204" s="618">
        <v>90</v>
      </c>
    </row>
    <row r="208" spans="25:26">
      <c r="Y208" s="627">
        <v>10</v>
      </c>
      <c r="Z208" s="618">
        <v>150</v>
      </c>
    </row>
    <row r="258" spans="25:26">
      <c r="Y258" s="627">
        <v>80</v>
      </c>
      <c r="Z258" s="618">
        <v>1280</v>
      </c>
    </row>
    <row r="307" spans="25:26">
      <c r="Y307" s="627">
        <v>20</v>
      </c>
      <c r="Z307" s="618">
        <v>320</v>
      </c>
    </row>
    <row r="322" spans="1:34">
      <c r="A322" s="474"/>
      <c r="B322" s="474"/>
      <c r="C322" s="476"/>
    </row>
    <row r="323" spans="1:34">
      <c r="A323" s="474"/>
      <c r="B323" s="474"/>
    </row>
    <row r="324" spans="1:34">
      <c r="A324" s="474"/>
      <c r="B324" s="474"/>
    </row>
    <row r="325" spans="1:34">
      <c r="A325" s="474"/>
      <c r="B325" s="474"/>
    </row>
    <row r="326" spans="1:34">
      <c r="A326" s="474"/>
      <c r="B326" s="474"/>
    </row>
    <row r="327" spans="1:34">
      <c r="A327" s="474"/>
      <c r="B327" s="474"/>
    </row>
    <row r="328" spans="1:34">
      <c r="A328" s="474"/>
      <c r="B328" s="474"/>
      <c r="H328" s="477"/>
      <c r="AE328" s="474"/>
      <c r="AH328" s="479"/>
    </row>
    <row r="329" spans="1:34">
      <c r="A329" s="474"/>
      <c r="B329" s="474"/>
      <c r="AE329" s="474"/>
      <c r="AH329" s="479"/>
    </row>
    <row r="330" spans="1:34">
      <c r="A330" s="474"/>
      <c r="B330" s="474"/>
      <c r="AE330" s="474"/>
    </row>
    <row r="331" spans="1:34">
      <c r="A331" s="474"/>
      <c r="B331" s="474"/>
      <c r="AE331" s="474"/>
      <c r="AH331" s="479"/>
    </row>
    <row r="332" spans="1:34">
      <c r="A332" s="474"/>
      <c r="B332" s="474"/>
      <c r="AE332" s="474"/>
      <c r="AH332" s="479"/>
    </row>
    <row r="680" spans="1:2">
      <c r="A680" s="474"/>
      <c r="B680" s="474"/>
    </row>
  </sheetData>
  <sheetProtection formatColumns="0" formatRows="0"/>
  <mergeCells count="3">
    <mergeCell ref="D1:F1"/>
    <mergeCell ref="G1:J1"/>
    <mergeCell ref="L1:U1"/>
  </mergeCells>
  <phoneticPr fontId="27" type="noConversion"/>
  <hyperlinks>
    <hyperlink ref="C31" r:id="rId1" display="http://plants.usda.gov/java/profile?symbol=OPHU"/>
    <hyperlink ref="C59" r:id="rId2" display="http://plants.usda.gov/java/profile?symbol=AMST80"/>
    <hyperlink ref="C35" r:id="rId3" display="http://plants.usda.gov/java/profile?symbol=RHAR4"/>
    <hyperlink ref="C20" r:id="rId4" display="http://plants.usda.gov/java/profile?symbol=SMLA3"/>
    <hyperlink ref="C29" r:id="rId5" display="http://plants.usda.gov/java/profile?symbol=SYOR"/>
    <hyperlink ref="C57" r:id="rId6" display="http://plants.usda.gov/java/profile?symbol=VIRI"/>
  </hyperlinks>
  <printOptions headings="1"/>
  <pageMargins left="0.2" right="0.2" top="0.2" bottom="0.3" header="0.2" footer="0.2"/>
  <pageSetup scale="37" fitToHeight="20" orientation="landscape" r:id="rId7"/>
  <headerFooter alignWithMargins="0">
    <oddFooter>&amp;L&amp;"Arial,Bold"&amp;K06-049Iowa Natural Resources Conservation Service&amp;C&amp;"Arial,Bold"&amp;K06-049Native Seed Mix Calculator Sub-shrub, Shrub, Tree, and Vine Species List&amp;R&amp;"Arial,Bold"&amp;K06-049&amp;D</oddFooter>
  </headerFooter>
</worksheet>
</file>

<file path=xl/worksheets/sheet7.xml><?xml version="1.0" encoding="utf-8"?>
<worksheet xmlns="http://schemas.openxmlformats.org/spreadsheetml/2006/main" xmlns:r="http://schemas.openxmlformats.org/officeDocument/2006/relationships">
  <sheetPr codeName="Sheet5">
    <tabColor theme="0" tint="-0.499984740745262"/>
  </sheetPr>
  <dimension ref="A1:C102"/>
  <sheetViews>
    <sheetView workbookViewId="0">
      <selection activeCell="B1" sqref="B1"/>
    </sheetView>
  </sheetViews>
  <sheetFormatPr defaultRowHeight="12.75"/>
  <cols>
    <col min="1" max="1" width="6.28515625" customWidth="1"/>
    <col min="2" max="2" width="21.140625" customWidth="1"/>
    <col min="3" max="3" width="8.5703125" customWidth="1"/>
  </cols>
  <sheetData>
    <row r="1" spans="1:3">
      <c r="A1">
        <v>1</v>
      </c>
    </row>
    <row r="2" spans="1:3">
      <c r="A2">
        <v>2</v>
      </c>
      <c r="B2" s="489" t="s">
        <v>11216</v>
      </c>
      <c r="C2" s="489" t="s">
        <v>11217</v>
      </c>
    </row>
    <row r="3" spans="1:3">
      <c r="A3">
        <v>3</v>
      </c>
      <c r="B3" s="4" t="s">
        <v>1162</v>
      </c>
      <c r="C3" s="116" t="s">
        <v>1006</v>
      </c>
    </row>
    <row r="4" spans="1:3">
      <c r="A4">
        <v>4</v>
      </c>
      <c r="B4" s="4" t="s">
        <v>1166</v>
      </c>
      <c r="C4" s="116" t="s">
        <v>1006</v>
      </c>
    </row>
    <row r="5" spans="1:3">
      <c r="A5">
        <v>5</v>
      </c>
      <c r="B5" s="4" t="s">
        <v>1105</v>
      </c>
      <c r="C5" s="116" t="s">
        <v>1005</v>
      </c>
    </row>
    <row r="6" spans="1:3">
      <c r="A6">
        <v>6</v>
      </c>
      <c r="B6" s="4" t="s">
        <v>1163</v>
      </c>
      <c r="C6" s="116" t="s">
        <v>146</v>
      </c>
    </row>
    <row r="7" spans="1:3">
      <c r="A7">
        <v>7</v>
      </c>
      <c r="B7" s="4" t="s">
        <v>1106</v>
      </c>
      <c r="C7" s="116" t="s">
        <v>145</v>
      </c>
    </row>
    <row r="8" spans="1:3">
      <c r="A8">
        <v>8</v>
      </c>
      <c r="B8" s="4" t="s">
        <v>1161</v>
      </c>
      <c r="C8" s="116" t="s">
        <v>1100</v>
      </c>
    </row>
    <row r="9" spans="1:3">
      <c r="A9">
        <v>9</v>
      </c>
      <c r="B9" s="4" t="s">
        <v>1110</v>
      </c>
      <c r="C9" s="116" t="s">
        <v>1005</v>
      </c>
    </row>
    <row r="10" spans="1:3">
      <c r="A10">
        <v>10</v>
      </c>
      <c r="B10" s="4" t="s">
        <v>1107</v>
      </c>
      <c r="C10" s="116" t="s">
        <v>1012</v>
      </c>
    </row>
    <row r="11" spans="1:3">
      <c r="A11">
        <v>11</v>
      </c>
      <c r="B11" s="4" t="s">
        <v>1115</v>
      </c>
      <c r="C11" s="116" t="s">
        <v>1005</v>
      </c>
    </row>
    <row r="12" spans="1:3">
      <c r="A12">
        <v>12</v>
      </c>
      <c r="B12" s="4" t="s">
        <v>1120</v>
      </c>
      <c r="C12" s="116" t="s">
        <v>1005</v>
      </c>
    </row>
    <row r="13" spans="1:3">
      <c r="A13">
        <v>13</v>
      </c>
      <c r="B13" s="4" t="s">
        <v>1103</v>
      </c>
      <c r="C13" s="4" t="s">
        <v>1009</v>
      </c>
    </row>
    <row r="14" spans="1:3">
      <c r="A14">
        <v>14</v>
      </c>
      <c r="B14" s="4" t="s">
        <v>1104</v>
      </c>
      <c r="C14" s="116" t="s">
        <v>1007</v>
      </c>
    </row>
    <row r="15" spans="1:3">
      <c r="A15">
        <v>15</v>
      </c>
      <c r="B15" s="4" t="s">
        <v>1111</v>
      </c>
      <c r="C15" s="116" t="s">
        <v>145</v>
      </c>
    </row>
    <row r="16" spans="1:3">
      <c r="A16">
        <v>16</v>
      </c>
      <c r="B16" s="4" t="s">
        <v>1116</v>
      </c>
      <c r="C16" s="116" t="s">
        <v>145</v>
      </c>
    </row>
    <row r="17" spans="1:3">
      <c r="A17">
        <v>17</v>
      </c>
      <c r="B17" s="4" t="s">
        <v>1170</v>
      </c>
      <c r="C17" s="116" t="s">
        <v>1006</v>
      </c>
    </row>
    <row r="18" spans="1:3">
      <c r="A18">
        <v>18</v>
      </c>
      <c r="B18" s="4" t="s">
        <v>1165</v>
      </c>
      <c r="C18" s="116" t="s">
        <v>1100</v>
      </c>
    </row>
    <row r="19" spans="1:3">
      <c r="A19">
        <v>19</v>
      </c>
      <c r="B19" s="4" t="s">
        <v>1109</v>
      </c>
      <c r="C19" s="116" t="s">
        <v>1007</v>
      </c>
    </row>
    <row r="20" spans="1:3">
      <c r="A20">
        <v>20</v>
      </c>
      <c r="B20" s="4" t="s">
        <v>1108</v>
      </c>
      <c r="C20" s="4" t="s">
        <v>1009</v>
      </c>
    </row>
    <row r="21" spans="1:3">
      <c r="A21">
        <v>21</v>
      </c>
      <c r="B21" s="4" t="s">
        <v>1125</v>
      </c>
      <c r="C21" s="116" t="s">
        <v>1005</v>
      </c>
    </row>
    <row r="22" spans="1:3">
      <c r="A22">
        <v>22</v>
      </c>
      <c r="B22" s="4" t="s">
        <v>1167</v>
      </c>
      <c r="C22" s="116" t="s">
        <v>146</v>
      </c>
    </row>
    <row r="23" spans="1:3">
      <c r="A23">
        <v>23</v>
      </c>
      <c r="B23" s="4" t="s">
        <v>1113</v>
      </c>
      <c r="C23" s="4" t="s">
        <v>1009</v>
      </c>
    </row>
    <row r="24" spans="1:3">
      <c r="A24">
        <v>24</v>
      </c>
      <c r="B24" s="1" t="s">
        <v>1130</v>
      </c>
      <c r="C24" s="116" t="s">
        <v>1005</v>
      </c>
    </row>
    <row r="25" spans="1:3">
      <c r="A25">
        <v>25</v>
      </c>
      <c r="B25" s="1" t="s">
        <v>1169</v>
      </c>
      <c r="C25" s="116" t="s">
        <v>1100</v>
      </c>
    </row>
    <row r="26" spans="1:3">
      <c r="A26">
        <v>26</v>
      </c>
      <c r="B26" s="1" t="s">
        <v>1121</v>
      </c>
      <c r="C26" s="116" t="s">
        <v>145</v>
      </c>
    </row>
    <row r="27" spans="1:3">
      <c r="A27">
        <v>27</v>
      </c>
      <c r="B27" s="1" t="s">
        <v>1112</v>
      </c>
      <c r="C27" s="116" t="s">
        <v>1012</v>
      </c>
    </row>
    <row r="28" spans="1:3">
      <c r="A28">
        <v>28</v>
      </c>
      <c r="B28" s="1" t="s">
        <v>1164</v>
      </c>
      <c r="C28" s="116" t="s">
        <v>1008</v>
      </c>
    </row>
    <row r="29" spans="1:3">
      <c r="A29">
        <v>29</v>
      </c>
      <c r="B29" s="1" t="s">
        <v>1171</v>
      </c>
      <c r="C29" s="116" t="s">
        <v>146</v>
      </c>
    </row>
    <row r="30" spans="1:3">
      <c r="A30">
        <v>30</v>
      </c>
      <c r="B30" s="1" t="s">
        <v>1135</v>
      </c>
      <c r="C30" s="116" t="s">
        <v>1005</v>
      </c>
    </row>
    <row r="31" spans="1:3">
      <c r="A31">
        <v>31</v>
      </c>
      <c r="B31" s="1" t="s">
        <v>1168</v>
      </c>
      <c r="C31" s="116" t="s">
        <v>1008</v>
      </c>
    </row>
    <row r="32" spans="1:3">
      <c r="A32">
        <v>32</v>
      </c>
      <c r="B32" s="1" t="s">
        <v>1118</v>
      </c>
      <c r="C32" s="4" t="s">
        <v>1009</v>
      </c>
    </row>
    <row r="33" spans="1:3">
      <c r="A33">
        <v>33</v>
      </c>
      <c r="B33" s="1" t="s">
        <v>1140</v>
      </c>
      <c r="C33" s="116" t="s">
        <v>1005</v>
      </c>
    </row>
    <row r="34" spans="1:3">
      <c r="A34">
        <v>34</v>
      </c>
      <c r="B34" s="1" t="s">
        <v>1123</v>
      </c>
      <c r="C34" s="4" t="s">
        <v>1009</v>
      </c>
    </row>
    <row r="35" spans="1:3">
      <c r="A35">
        <v>35</v>
      </c>
      <c r="B35" s="1" t="s">
        <v>1145</v>
      </c>
      <c r="C35" s="116" t="s">
        <v>1005</v>
      </c>
    </row>
    <row r="36" spans="1:3">
      <c r="A36">
        <v>36</v>
      </c>
      <c r="B36" s="1" t="s">
        <v>1114</v>
      </c>
      <c r="C36" s="116" t="s">
        <v>1007</v>
      </c>
    </row>
    <row r="37" spans="1:3">
      <c r="A37">
        <v>37</v>
      </c>
      <c r="B37" s="1" t="s">
        <v>1119</v>
      </c>
      <c r="C37" s="116" t="s">
        <v>1007</v>
      </c>
    </row>
    <row r="38" spans="1:3">
      <c r="A38">
        <v>38</v>
      </c>
      <c r="B38" s="1" t="s">
        <v>1174</v>
      </c>
      <c r="C38" s="116" t="s">
        <v>1006</v>
      </c>
    </row>
    <row r="39" spans="1:3">
      <c r="A39">
        <v>39</v>
      </c>
      <c r="B39" s="1" t="s">
        <v>1126</v>
      </c>
      <c r="C39" s="116" t="s">
        <v>145</v>
      </c>
    </row>
    <row r="40" spans="1:3">
      <c r="A40">
        <v>40</v>
      </c>
      <c r="B40" s="1" t="s">
        <v>1117</v>
      </c>
      <c r="C40" s="116" t="s">
        <v>1012</v>
      </c>
    </row>
    <row r="41" spans="1:3">
      <c r="A41">
        <v>41</v>
      </c>
      <c r="B41" s="1" t="s">
        <v>1131</v>
      </c>
      <c r="C41" s="116" t="s">
        <v>145</v>
      </c>
    </row>
    <row r="42" spans="1:3">
      <c r="A42">
        <v>42</v>
      </c>
      <c r="B42" s="1" t="s">
        <v>1122</v>
      </c>
      <c r="C42" s="116" t="s">
        <v>1012</v>
      </c>
    </row>
    <row r="43" spans="1:3">
      <c r="A43">
        <v>43</v>
      </c>
      <c r="B43" s="1" t="s">
        <v>1124</v>
      </c>
      <c r="C43" s="116" t="s">
        <v>1007</v>
      </c>
    </row>
    <row r="44" spans="1:3">
      <c r="A44">
        <v>44</v>
      </c>
      <c r="B44" s="1" t="s">
        <v>1127</v>
      </c>
      <c r="C44" s="116" t="s">
        <v>1012</v>
      </c>
    </row>
    <row r="45" spans="1:3">
      <c r="A45">
        <v>45</v>
      </c>
      <c r="B45" s="1" t="s">
        <v>1136</v>
      </c>
      <c r="C45" s="116" t="s">
        <v>145</v>
      </c>
    </row>
    <row r="46" spans="1:3">
      <c r="A46">
        <v>46</v>
      </c>
      <c r="B46" s="1" t="s">
        <v>1172</v>
      </c>
      <c r="C46" s="116" t="s">
        <v>1008</v>
      </c>
    </row>
    <row r="47" spans="1:3">
      <c r="A47">
        <v>47</v>
      </c>
      <c r="B47" s="1" t="s">
        <v>1150</v>
      </c>
      <c r="C47" s="116" t="s">
        <v>1005</v>
      </c>
    </row>
    <row r="48" spans="1:3">
      <c r="A48">
        <v>48</v>
      </c>
      <c r="B48" s="1" t="s">
        <v>1129</v>
      </c>
      <c r="C48" s="116" t="s">
        <v>1007</v>
      </c>
    </row>
    <row r="49" spans="1:3">
      <c r="A49">
        <v>49</v>
      </c>
      <c r="B49" s="1" t="s">
        <v>1141</v>
      </c>
      <c r="C49" s="116" t="s">
        <v>145</v>
      </c>
    </row>
    <row r="50" spans="1:3">
      <c r="A50">
        <v>50</v>
      </c>
      <c r="B50" s="1" t="s">
        <v>1173</v>
      </c>
      <c r="C50" s="116" t="s">
        <v>1100</v>
      </c>
    </row>
    <row r="51" spans="1:3">
      <c r="A51">
        <v>51</v>
      </c>
      <c r="B51" s="1" t="s">
        <v>1177</v>
      </c>
      <c r="C51" s="116" t="s">
        <v>1100</v>
      </c>
    </row>
    <row r="52" spans="1:3">
      <c r="A52">
        <v>52</v>
      </c>
      <c r="B52" s="1" t="s">
        <v>1132</v>
      </c>
      <c r="C52" s="116" t="s">
        <v>1012</v>
      </c>
    </row>
    <row r="53" spans="1:3">
      <c r="A53">
        <v>53</v>
      </c>
      <c r="B53" s="1" t="s">
        <v>1176</v>
      </c>
      <c r="C53" s="116" t="s">
        <v>1008</v>
      </c>
    </row>
    <row r="54" spans="1:3">
      <c r="A54">
        <v>54</v>
      </c>
      <c r="B54" s="1" t="s">
        <v>1181</v>
      </c>
      <c r="C54" s="116" t="s">
        <v>1100</v>
      </c>
    </row>
    <row r="55" spans="1:3">
      <c r="A55">
        <v>55</v>
      </c>
      <c r="B55" s="1" t="s">
        <v>1185</v>
      </c>
      <c r="C55" s="116" t="s">
        <v>1100</v>
      </c>
    </row>
    <row r="56" spans="1:3">
      <c r="A56">
        <v>56</v>
      </c>
      <c r="B56" s="1" t="s">
        <v>1180</v>
      </c>
      <c r="C56" s="116" t="s">
        <v>1008</v>
      </c>
    </row>
    <row r="57" spans="1:3">
      <c r="A57">
        <v>57</v>
      </c>
      <c r="B57" s="1" t="s">
        <v>1134</v>
      </c>
      <c r="C57" s="116" t="s">
        <v>1007</v>
      </c>
    </row>
    <row r="58" spans="1:3">
      <c r="A58">
        <v>58</v>
      </c>
      <c r="B58" s="1" t="s">
        <v>1184</v>
      </c>
      <c r="C58" s="116" t="s">
        <v>1008</v>
      </c>
    </row>
    <row r="59" spans="1:3">
      <c r="A59">
        <v>59</v>
      </c>
      <c r="B59" s="1" t="s">
        <v>1189</v>
      </c>
      <c r="C59" s="116" t="s">
        <v>1100</v>
      </c>
    </row>
    <row r="60" spans="1:3">
      <c r="A60">
        <v>60</v>
      </c>
      <c r="B60" s="1" t="s">
        <v>1188</v>
      </c>
      <c r="C60" s="116" t="s">
        <v>1008</v>
      </c>
    </row>
    <row r="61" spans="1:3">
      <c r="A61">
        <v>61</v>
      </c>
      <c r="B61" s="1" t="s">
        <v>1175</v>
      </c>
      <c r="C61" s="116" t="s">
        <v>146</v>
      </c>
    </row>
    <row r="62" spans="1:3">
      <c r="A62">
        <v>62</v>
      </c>
      <c r="B62" s="1" t="s">
        <v>1128</v>
      </c>
      <c r="C62" s="4" t="s">
        <v>1009</v>
      </c>
    </row>
    <row r="63" spans="1:3">
      <c r="A63">
        <v>63</v>
      </c>
      <c r="B63" s="1" t="s">
        <v>1179</v>
      </c>
      <c r="C63" s="116" t="s">
        <v>146</v>
      </c>
    </row>
    <row r="64" spans="1:3">
      <c r="A64">
        <v>64</v>
      </c>
      <c r="B64" s="1" t="s">
        <v>1183</v>
      </c>
      <c r="C64" s="116" t="s">
        <v>146</v>
      </c>
    </row>
    <row r="65" spans="1:3">
      <c r="A65">
        <v>65</v>
      </c>
      <c r="B65" s="1" t="s">
        <v>1187</v>
      </c>
      <c r="C65" s="116" t="s">
        <v>146</v>
      </c>
    </row>
    <row r="66" spans="1:3">
      <c r="A66">
        <v>66</v>
      </c>
      <c r="B66" s="1" t="s">
        <v>1137</v>
      </c>
      <c r="C66" s="116" t="s">
        <v>1012</v>
      </c>
    </row>
    <row r="67" spans="1:3">
      <c r="A67">
        <v>67</v>
      </c>
      <c r="B67" s="1" t="s">
        <v>1178</v>
      </c>
      <c r="C67" s="116" t="s">
        <v>1006</v>
      </c>
    </row>
    <row r="68" spans="1:3">
      <c r="A68">
        <v>68</v>
      </c>
      <c r="B68" s="1" t="s">
        <v>1139</v>
      </c>
      <c r="C68" s="116" t="s">
        <v>1007</v>
      </c>
    </row>
    <row r="69" spans="1:3">
      <c r="A69">
        <v>69</v>
      </c>
      <c r="B69" s="1" t="s">
        <v>1146</v>
      </c>
      <c r="C69" s="116" t="s">
        <v>145</v>
      </c>
    </row>
    <row r="70" spans="1:3">
      <c r="A70">
        <v>70</v>
      </c>
      <c r="B70" s="1" t="s">
        <v>1191</v>
      </c>
      <c r="C70" s="116" t="s">
        <v>146</v>
      </c>
    </row>
    <row r="71" spans="1:3">
      <c r="A71">
        <v>71</v>
      </c>
      <c r="B71" s="1" t="s">
        <v>1182</v>
      </c>
      <c r="C71" s="116" t="s">
        <v>1006</v>
      </c>
    </row>
    <row r="72" spans="1:3">
      <c r="A72">
        <v>72</v>
      </c>
      <c r="B72" s="1" t="s">
        <v>1192</v>
      </c>
      <c r="C72" s="116" t="s">
        <v>1008</v>
      </c>
    </row>
    <row r="73" spans="1:3">
      <c r="A73">
        <v>73</v>
      </c>
      <c r="B73" s="1" t="s">
        <v>1133</v>
      </c>
      <c r="C73" s="4" t="s">
        <v>1009</v>
      </c>
    </row>
    <row r="74" spans="1:3">
      <c r="A74">
        <v>74</v>
      </c>
      <c r="B74" s="1" t="s">
        <v>1138</v>
      </c>
      <c r="C74" s="4" t="s">
        <v>1009</v>
      </c>
    </row>
    <row r="75" spans="1:3">
      <c r="A75">
        <v>75</v>
      </c>
      <c r="B75" s="1" t="s">
        <v>1186</v>
      </c>
      <c r="C75" s="116" t="s">
        <v>1006</v>
      </c>
    </row>
    <row r="76" spans="1:3">
      <c r="A76">
        <v>76</v>
      </c>
      <c r="B76" s="1" t="s">
        <v>1143</v>
      </c>
      <c r="C76" s="4" t="s">
        <v>1009</v>
      </c>
    </row>
    <row r="77" spans="1:3">
      <c r="A77">
        <v>77</v>
      </c>
      <c r="B77" s="1" t="s">
        <v>1148</v>
      </c>
      <c r="C77" s="4" t="s">
        <v>1009</v>
      </c>
    </row>
    <row r="78" spans="1:3">
      <c r="A78">
        <v>78</v>
      </c>
      <c r="B78" s="1" t="s">
        <v>1153</v>
      </c>
      <c r="C78" s="4" t="s">
        <v>1009</v>
      </c>
    </row>
    <row r="79" spans="1:3">
      <c r="A79">
        <v>79</v>
      </c>
      <c r="B79" s="1" t="s">
        <v>1142</v>
      </c>
      <c r="C79" s="116" t="s">
        <v>1012</v>
      </c>
    </row>
    <row r="80" spans="1:3">
      <c r="A80">
        <v>80</v>
      </c>
      <c r="B80" s="1" t="s">
        <v>1190</v>
      </c>
      <c r="C80" s="116" t="s">
        <v>1006</v>
      </c>
    </row>
    <row r="81" spans="1:3">
      <c r="A81">
        <v>81</v>
      </c>
      <c r="B81" s="1" t="s">
        <v>1147</v>
      </c>
      <c r="C81" s="116" t="s">
        <v>1012</v>
      </c>
    </row>
    <row r="82" spans="1:3">
      <c r="A82">
        <v>82</v>
      </c>
      <c r="B82" s="1" t="s">
        <v>1194</v>
      </c>
      <c r="C82" s="116" t="s">
        <v>1006</v>
      </c>
    </row>
    <row r="83" spans="1:3">
      <c r="A83">
        <v>83</v>
      </c>
      <c r="B83" s="1" t="s">
        <v>1151</v>
      </c>
      <c r="C83" s="116" t="s">
        <v>145</v>
      </c>
    </row>
    <row r="84" spans="1:3">
      <c r="A84">
        <v>84</v>
      </c>
      <c r="B84" s="1" t="s">
        <v>1193</v>
      </c>
      <c r="C84" s="116" t="s">
        <v>1100</v>
      </c>
    </row>
    <row r="85" spans="1:3">
      <c r="A85">
        <v>85</v>
      </c>
      <c r="B85" s="1" t="s">
        <v>1156</v>
      </c>
      <c r="C85" s="116" t="s">
        <v>145</v>
      </c>
    </row>
    <row r="86" spans="1:3">
      <c r="A86">
        <v>86</v>
      </c>
      <c r="B86" s="1" t="s">
        <v>1158</v>
      </c>
      <c r="C86" s="4" t="s">
        <v>1009</v>
      </c>
    </row>
    <row r="87" spans="1:3">
      <c r="A87">
        <v>87</v>
      </c>
      <c r="B87" s="1" t="s">
        <v>1152</v>
      </c>
      <c r="C87" s="116" t="s">
        <v>1012</v>
      </c>
    </row>
    <row r="88" spans="1:3">
      <c r="A88">
        <v>88</v>
      </c>
      <c r="B88" s="1" t="s">
        <v>1157</v>
      </c>
      <c r="C88" s="116" t="s">
        <v>1012</v>
      </c>
    </row>
    <row r="89" spans="1:3">
      <c r="A89">
        <v>89</v>
      </c>
      <c r="B89" s="1" t="s">
        <v>1197</v>
      </c>
      <c r="C89" s="116" t="s">
        <v>1006</v>
      </c>
    </row>
    <row r="90" spans="1:3">
      <c r="A90">
        <v>90</v>
      </c>
      <c r="B90" s="1" t="s">
        <v>1200</v>
      </c>
      <c r="C90" s="116" t="s">
        <v>1006</v>
      </c>
    </row>
    <row r="91" spans="1:3">
      <c r="A91">
        <v>91</v>
      </c>
      <c r="B91" s="1" t="s">
        <v>1196</v>
      </c>
      <c r="C91" s="116" t="s">
        <v>1008</v>
      </c>
    </row>
    <row r="92" spans="1:3">
      <c r="A92">
        <v>92</v>
      </c>
      <c r="B92" s="1" t="s">
        <v>1199</v>
      </c>
      <c r="C92" s="116" t="s">
        <v>1008</v>
      </c>
    </row>
    <row r="93" spans="1:3">
      <c r="A93">
        <v>93</v>
      </c>
      <c r="B93" s="115" t="s">
        <v>1195</v>
      </c>
      <c r="C93" s="116" t="s">
        <v>146</v>
      </c>
    </row>
    <row r="94" spans="1:3">
      <c r="A94">
        <v>94</v>
      </c>
      <c r="B94" s="115" t="s">
        <v>1201</v>
      </c>
      <c r="C94" s="116" t="s">
        <v>1008</v>
      </c>
    </row>
    <row r="95" spans="1:3">
      <c r="A95">
        <v>95</v>
      </c>
      <c r="B95" s="115" t="s">
        <v>1198</v>
      </c>
      <c r="C95" s="116" t="s">
        <v>146</v>
      </c>
    </row>
    <row r="96" spans="1:3">
      <c r="A96">
        <v>96</v>
      </c>
      <c r="B96" s="115" t="s">
        <v>1160</v>
      </c>
      <c r="C96" s="116" t="s">
        <v>1012</v>
      </c>
    </row>
    <row r="97" spans="1:3">
      <c r="A97">
        <v>97</v>
      </c>
      <c r="B97" s="115" t="s">
        <v>1144</v>
      </c>
      <c r="C97" s="116" t="s">
        <v>1007</v>
      </c>
    </row>
    <row r="98" spans="1:3">
      <c r="A98">
        <v>98</v>
      </c>
      <c r="B98" s="115" t="s">
        <v>1155</v>
      </c>
      <c r="C98" s="116" t="s">
        <v>1005</v>
      </c>
    </row>
    <row r="99" spans="1:3">
      <c r="A99">
        <v>99</v>
      </c>
      <c r="B99" s="115" t="s">
        <v>1159</v>
      </c>
      <c r="C99" s="116" t="s">
        <v>145</v>
      </c>
    </row>
    <row r="100" spans="1:3">
      <c r="A100">
        <v>100</v>
      </c>
      <c r="B100" s="115" t="s">
        <v>1149</v>
      </c>
      <c r="C100" s="116" t="s">
        <v>1007</v>
      </c>
    </row>
    <row r="101" spans="1:3">
      <c r="A101">
        <v>101</v>
      </c>
      <c r="B101" s="115" t="s">
        <v>1154</v>
      </c>
      <c r="C101" s="116" t="s">
        <v>1007</v>
      </c>
    </row>
    <row r="102" spans="1:3">
      <c r="B102" s="115"/>
      <c r="C102"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NamesLookup">
    <tabColor theme="2" tint="-0.499984740745262"/>
    <pageSetUpPr fitToPage="1"/>
  </sheetPr>
  <dimension ref="A4:H331"/>
  <sheetViews>
    <sheetView zoomScale="85" zoomScaleNormal="85" workbookViewId="0">
      <selection activeCell="B8" sqref="B8"/>
    </sheetView>
  </sheetViews>
  <sheetFormatPr defaultRowHeight="15"/>
  <cols>
    <col min="1" max="1" width="52" style="383" bestFit="1" customWidth="1"/>
    <col min="2" max="2" width="29.7109375" style="383" bestFit="1" customWidth="1"/>
    <col min="3" max="3" width="5.28515625" style="351" customWidth="1"/>
    <col min="4" max="4" width="42.5703125" style="383" bestFit="1" customWidth="1"/>
    <col min="5" max="5" width="37" style="383" bestFit="1" customWidth="1"/>
    <col min="6" max="6" width="5.28515625" style="351" customWidth="1"/>
    <col min="7" max="7" width="32.28515625" style="383" bestFit="1" customWidth="1"/>
    <col min="8" max="8" width="28.28515625" style="383" bestFit="1" customWidth="1"/>
    <col min="9" max="16384" width="9.140625" style="351"/>
  </cols>
  <sheetData>
    <row r="4" spans="1:8" s="11" customFormat="1" ht="15.75">
      <c r="A4" s="818" t="s">
        <v>5</v>
      </c>
      <c r="B4" s="818"/>
      <c r="D4" s="818" t="s">
        <v>6</v>
      </c>
      <c r="E4" s="818"/>
      <c r="G4" s="818" t="s">
        <v>0</v>
      </c>
      <c r="H4" s="818"/>
    </row>
    <row r="5" spans="1:8" s="11" customFormat="1" ht="16.5" thickBot="1">
      <c r="A5" s="349" t="s">
        <v>885</v>
      </c>
      <c r="B5" s="349" t="s">
        <v>857</v>
      </c>
      <c r="D5" s="349" t="s">
        <v>885</v>
      </c>
      <c r="E5" s="349" t="s">
        <v>857</v>
      </c>
      <c r="G5" s="669" t="s">
        <v>885</v>
      </c>
      <c r="H5" s="669" t="s">
        <v>857</v>
      </c>
    </row>
    <row r="6" spans="1:8">
      <c r="A6" s="588" t="s">
        <v>1064</v>
      </c>
      <c r="B6" s="350" t="s">
        <v>119</v>
      </c>
      <c r="D6" s="582" t="s">
        <v>612</v>
      </c>
      <c r="E6" s="352" t="s">
        <v>470</v>
      </c>
      <c r="G6" s="666" t="s">
        <v>9384</v>
      </c>
      <c r="H6" s="667" t="s">
        <v>11274</v>
      </c>
    </row>
    <row r="7" spans="1:8">
      <c r="A7" s="588" t="s">
        <v>18</v>
      </c>
      <c r="B7" s="350" t="s">
        <v>120</v>
      </c>
      <c r="D7" s="582" t="s">
        <v>783</v>
      </c>
      <c r="E7" s="352" t="s">
        <v>782</v>
      </c>
      <c r="G7" s="579" t="s">
        <v>827</v>
      </c>
      <c r="H7" s="352" t="s">
        <v>839</v>
      </c>
    </row>
    <row r="8" spans="1:8">
      <c r="A8" s="588" t="s">
        <v>871</v>
      </c>
      <c r="B8" s="350" t="s">
        <v>121</v>
      </c>
      <c r="D8" s="582" t="s">
        <v>784</v>
      </c>
      <c r="E8" s="352" t="s">
        <v>472</v>
      </c>
      <c r="G8" s="579" t="s">
        <v>828</v>
      </c>
      <c r="H8" s="352" t="s">
        <v>840</v>
      </c>
    </row>
    <row r="9" spans="1:8">
      <c r="A9" s="588" t="s">
        <v>864</v>
      </c>
      <c r="B9" s="350" t="s">
        <v>122</v>
      </c>
      <c r="D9" s="582" t="s">
        <v>823</v>
      </c>
      <c r="E9" s="352" t="s">
        <v>417</v>
      </c>
      <c r="G9" s="579" t="s">
        <v>262</v>
      </c>
      <c r="H9" s="352" t="s">
        <v>546</v>
      </c>
    </row>
    <row r="10" spans="1:8">
      <c r="A10" s="588" t="s">
        <v>19</v>
      </c>
      <c r="B10" s="350" t="s">
        <v>123</v>
      </c>
      <c r="D10" s="582" t="s">
        <v>785</v>
      </c>
      <c r="E10" s="352" t="s">
        <v>431</v>
      </c>
      <c r="G10" s="579" t="s">
        <v>829</v>
      </c>
      <c r="H10" s="352" t="s">
        <v>841</v>
      </c>
    </row>
    <row r="11" spans="1:8">
      <c r="A11" s="588" t="s">
        <v>20</v>
      </c>
      <c r="B11" s="350" t="s">
        <v>124</v>
      </c>
      <c r="D11" s="580" t="s">
        <v>786</v>
      </c>
      <c r="E11" s="352" t="s">
        <v>301</v>
      </c>
      <c r="G11" s="579" t="s">
        <v>830</v>
      </c>
      <c r="H11" s="352" t="s">
        <v>842</v>
      </c>
    </row>
    <row r="12" spans="1:8">
      <c r="A12" s="588" t="s">
        <v>21</v>
      </c>
      <c r="B12" s="350" t="s">
        <v>125</v>
      </c>
      <c r="D12" s="580" t="s">
        <v>787</v>
      </c>
      <c r="E12" s="352" t="s">
        <v>496</v>
      </c>
      <c r="G12" s="666" t="s">
        <v>9493</v>
      </c>
      <c r="H12" s="667" t="s">
        <v>11237</v>
      </c>
    </row>
    <row r="13" spans="1:8">
      <c r="A13" s="588" t="s">
        <v>22</v>
      </c>
      <c r="B13" s="350" t="s">
        <v>126</v>
      </c>
      <c r="D13" s="580" t="s">
        <v>788</v>
      </c>
      <c r="E13" s="352" t="s">
        <v>408</v>
      </c>
      <c r="G13" s="666" t="s">
        <v>9501</v>
      </c>
      <c r="H13" s="667" t="s">
        <v>11271</v>
      </c>
    </row>
    <row r="14" spans="1:8">
      <c r="A14" s="588" t="s">
        <v>23</v>
      </c>
      <c r="B14" s="350" t="s">
        <v>127</v>
      </c>
      <c r="D14" s="580" t="s">
        <v>789</v>
      </c>
      <c r="E14" s="352" t="s">
        <v>477</v>
      </c>
      <c r="G14" s="666" t="s">
        <v>9528</v>
      </c>
      <c r="H14" s="667" t="s">
        <v>11262</v>
      </c>
    </row>
    <row r="15" spans="1:8">
      <c r="A15" s="588" t="s">
        <v>24</v>
      </c>
      <c r="B15" s="350" t="s">
        <v>128</v>
      </c>
      <c r="D15" s="589" t="s">
        <v>613</v>
      </c>
      <c r="E15" s="352" t="s">
        <v>464</v>
      </c>
      <c r="G15" s="666" t="s">
        <v>9534</v>
      </c>
      <c r="H15" s="667" t="s">
        <v>11253</v>
      </c>
    </row>
    <row r="16" spans="1:8">
      <c r="A16" s="588" t="s">
        <v>25</v>
      </c>
      <c r="B16" s="350" t="s">
        <v>129</v>
      </c>
      <c r="D16" s="580" t="s">
        <v>3308</v>
      </c>
      <c r="E16" s="352" t="s">
        <v>11233</v>
      </c>
      <c r="G16" s="666" t="s">
        <v>9538</v>
      </c>
      <c r="H16" s="667" t="s">
        <v>11263</v>
      </c>
    </row>
    <row r="17" spans="1:8">
      <c r="A17" s="588" t="s">
        <v>11172</v>
      </c>
      <c r="B17" s="350" t="s">
        <v>11171</v>
      </c>
      <c r="D17" s="580" t="s">
        <v>790</v>
      </c>
      <c r="E17" s="352" t="s">
        <v>374</v>
      </c>
      <c r="G17" s="666" t="s">
        <v>9543</v>
      </c>
      <c r="H17" s="667" t="s">
        <v>11273</v>
      </c>
    </row>
    <row r="18" spans="1:8">
      <c r="A18" s="588" t="s">
        <v>26</v>
      </c>
      <c r="B18" s="350" t="s">
        <v>130</v>
      </c>
      <c r="D18" s="580" t="s">
        <v>791</v>
      </c>
      <c r="E18" s="352" t="s">
        <v>297</v>
      </c>
      <c r="G18" s="666" t="s">
        <v>9556</v>
      </c>
      <c r="H18" s="667" t="s">
        <v>11272</v>
      </c>
    </row>
    <row r="19" spans="1:8">
      <c r="A19" s="588" t="s">
        <v>27</v>
      </c>
      <c r="B19" s="350" t="s">
        <v>277</v>
      </c>
      <c r="D19" s="580" t="s">
        <v>792</v>
      </c>
      <c r="E19" s="352" t="s">
        <v>484</v>
      </c>
      <c r="G19" s="579" t="s">
        <v>831</v>
      </c>
      <c r="H19" s="352" t="s">
        <v>843</v>
      </c>
    </row>
    <row r="20" spans="1:8">
      <c r="A20" s="588" t="s">
        <v>28</v>
      </c>
      <c r="B20" s="350" t="s">
        <v>278</v>
      </c>
      <c r="D20" s="580" t="s">
        <v>1074</v>
      </c>
      <c r="E20" s="352" t="s">
        <v>308</v>
      </c>
      <c r="G20" s="579" t="s">
        <v>267</v>
      </c>
      <c r="H20" s="352" t="s">
        <v>844</v>
      </c>
    </row>
    <row r="21" spans="1:8">
      <c r="A21" s="588" t="s">
        <v>11174</v>
      </c>
      <c r="B21" s="350" t="s">
        <v>11173</v>
      </c>
      <c r="D21" s="580" t="s">
        <v>881</v>
      </c>
      <c r="E21" s="352" t="s">
        <v>311</v>
      </c>
      <c r="G21" s="579" t="s">
        <v>848</v>
      </c>
      <c r="H21" s="352" t="s">
        <v>849</v>
      </c>
    </row>
    <row r="22" spans="1:8">
      <c r="A22" s="588" t="s">
        <v>29</v>
      </c>
      <c r="B22" s="350" t="s">
        <v>131</v>
      </c>
      <c r="D22" s="580" t="s">
        <v>793</v>
      </c>
      <c r="E22" s="352" t="s">
        <v>454</v>
      </c>
      <c r="G22" s="666" t="s">
        <v>9583</v>
      </c>
      <c r="H22" s="667" t="s">
        <v>11260</v>
      </c>
    </row>
    <row r="23" spans="1:8">
      <c r="A23" s="588" t="s">
        <v>1580</v>
      </c>
      <c r="B23" s="350" t="s">
        <v>11222</v>
      </c>
      <c r="D23" s="580" t="s">
        <v>794</v>
      </c>
      <c r="E23" s="352" t="s">
        <v>413</v>
      </c>
      <c r="G23" s="579" t="s">
        <v>832</v>
      </c>
      <c r="H23" s="352" t="s">
        <v>845</v>
      </c>
    </row>
    <row r="24" spans="1:8">
      <c r="A24" s="588" t="s">
        <v>30</v>
      </c>
      <c r="B24" s="350" t="s">
        <v>132</v>
      </c>
      <c r="D24" s="580" t="s">
        <v>795</v>
      </c>
      <c r="E24" s="352" t="s">
        <v>512</v>
      </c>
      <c r="G24" s="579" t="s">
        <v>276</v>
      </c>
      <c r="H24" s="352" t="s">
        <v>1</v>
      </c>
    </row>
    <row r="25" spans="1:8">
      <c r="A25" s="588" t="s">
        <v>31</v>
      </c>
      <c r="B25" s="350" t="s">
        <v>133</v>
      </c>
      <c r="D25" s="581" t="s">
        <v>11155</v>
      </c>
      <c r="E25" s="352" t="s">
        <v>11154</v>
      </c>
      <c r="G25" s="579" t="s">
        <v>833</v>
      </c>
      <c r="H25" s="352" t="s">
        <v>846</v>
      </c>
    </row>
    <row r="26" spans="1:8">
      <c r="A26" s="588" t="s">
        <v>11175</v>
      </c>
      <c r="B26" s="350" t="s">
        <v>11176</v>
      </c>
      <c r="D26" s="580" t="s">
        <v>796</v>
      </c>
      <c r="E26" s="352" t="s">
        <v>418</v>
      </c>
      <c r="G26" s="579" t="s">
        <v>268</v>
      </c>
      <c r="H26" s="352" t="s">
        <v>847</v>
      </c>
    </row>
    <row r="27" spans="1:8">
      <c r="A27" s="588" t="s">
        <v>32</v>
      </c>
      <c r="B27" s="350" t="s">
        <v>134</v>
      </c>
      <c r="D27" s="580" t="s">
        <v>797</v>
      </c>
      <c r="E27" s="352" t="s">
        <v>457</v>
      </c>
      <c r="G27" s="666" t="s">
        <v>9629</v>
      </c>
      <c r="H27" s="667" t="s">
        <v>11247</v>
      </c>
    </row>
    <row r="28" spans="1:8">
      <c r="A28" s="588" t="s">
        <v>33</v>
      </c>
      <c r="B28" s="350" t="s">
        <v>135</v>
      </c>
      <c r="D28" s="580" t="s">
        <v>798</v>
      </c>
      <c r="E28" s="352" t="s">
        <v>358</v>
      </c>
      <c r="G28" s="579" t="s">
        <v>269</v>
      </c>
      <c r="H28" s="352" t="s">
        <v>552</v>
      </c>
    </row>
    <row r="29" spans="1:8">
      <c r="A29" s="588" t="s">
        <v>34</v>
      </c>
      <c r="B29" s="350" t="s">
        <v>136</v>
      </c>
      <c r="D29" s="580" t="s">
        <v>590</v>
      </c>
      <c r="E29" s="352" t="s">
        <v>591</v>
      </c>
      <c r="G29" s="579" t="s">
        <v>834</v>
      </c>
      <c r="H29" s="352" t="s">
        <v>553</v>
      </c>
    </row>
    <row r="30" spans="1:8">
      <c r="A30" s="588" t="s">
        <v>35</v>
      </c>
      <c r="B30" s="383" t="s">
        <v>137</v>
      </c>
      <c r="D30" s="589" t="s">
        <v>1274</v>
      </c>
      <c r="E30" s="352" t="s">
        <v>1273</v>
      </c>
      <c r="G30" s="579" t="s">
        <v>835</v>
      </c>
      <c r="H30" s="352" t="s">
        <v>554</v>
      </c>
    </row>
    <row r="31" spans="1:8">
      <c r="A31" s="588" t="s">
        <v>11178</v>
      </c>
      <c r="B31" s="350" t="s">
        <v>11177</v>
      </c>
      <c r="D31" s="580" t="s">
        <v>799</v>
      </c>
      <c r="E31" s="352" t="s">
        <v>364</v>
      </c>
      <c r="G31" s="579" t="s">
        <v>836</v>
      </c>
      <c r="H31" s="352" t="s">
        <v>555</v>
      </c>
    </row>
    <row r="32" spans="1:8">
      <c r="A32" s="588" t="s">
        <v>36</v>
      </c>
      <c r="B32" s="350" t="s">
        <v>280</v>
      </c>
      <c r="D32" s="580" t="s">
        <v>800</v>
      </c>
      <c r="E32" s="352" t="s">
        <v>388</v>
      </c>
      <c r="G32" s="666" t="s">
        <v>9962</v>
      </c>
      <c r="H32" s="667" t="s">
        <v>11261</v>
      </c>
    </row>
    <row r="33" spans="1:8">
      <c r="A33" s="588" t="s">
        <v>11226</v>
      </c>
      <c r="B33" s="350" t="s">
        <v>11227</v>
      </c>
      <c r="D33" s="580" t="s">
        <v>610</v>
      </c>
      <c r="E33" s="352" t="s">
        <v>354</v>
      </c>
      <c r="G33" s="579" t="s">
        <v>837</v>
      </c>
      <c r="H33" s="352" t="s">
        <v>556</v>
      </c>
    </row>
    <row r="34" spans="1:8">
      <c r="A34" s="588" t="s">
        <v>37</v>
      </c>
      <c r="B34" s="350" t="s">
        <v>138</v>
      </c>
      <c r="D34" s="582" t="s">
        <v>595</v>
      </c>
      <c r="E34" s="352" t="s">
        <v>1248</v>
      </c>
      <c r="G34" s="579" t="s">
        <v>838</v>
      </c>
      <c r="H34" s="352" t="s">
        <v>1312</v>
      </c>
    </row>
    <row r="35" spans="1:8">
      <c r="A35" s="588" t="s">
        <v>38</v>
      </c>
      <c r="B35" s="350" t="s">
        <v>139</v>
      </c>
      <c r="D35" s="580" t="s">
        <v>614</v>
      </c>
      <c r="E35" s="352" t="s">
        <v>341</v>
      </c>
      <c r="G35" s="580" t="s">
        <v>11161</v>
      </c>
      <c r="H35" s="352" t="s">
        <v>11160</v>
      </c>
    </row>
    <row r="36" spans="1:8">
      <c r="A36" s="588" t="s">
        <v>39</v>
      </c>
      <c r="B36" s="350" t="s">
        <v>140</v>
      </c>
      <c r="D36" s="580" t="s">
        <v>1079</v>
      </c>
      <c r="E36" s="352" t="s">
        <v>476</v>
      </c>
      <c r="G36" s="666" t="s">
        <v>11250</v>
      </c>
      <c r="H36" s="667" t="s">
        <v>11249</v>
      </c>
    </row>
    <row r="37" spans="1:8">
      <c r="A37" s="588" t="s">
        <v>40</v>
      </c>
      <c r="B37" s="350" t="s">
        <v>281</v>
      </c>
      <c r="D37" s="580" t="s">
        <v>801</v>
      </c>
      <c r="E37" s="352" t="s">
        <v>310</v>
      </c>
      <c r="G37" s="666" t="s">
        <v>9985</v>
      </c>
      <c r="H37" s="667" t="s">
        <v>11257</v>
      </c>
    </row>
    <row r="38" spans="1:8">
      <c r="A38" s="588" t="s">
        <v>41</v>
      </c>
      <c r="B38" s="350" t="s">
        <v>141</v>
      </c>
      <c r="D38" s="580" t="s">
        <v>592</v>
      </c>
      <c r="E38" s="352" t="s">
        <v>593</v>
      </c>
      <c r="G38" s="666" t="s">
        <v>9988</v>
      </c>
      <c r="H38" s="667" t="s">
        <v>11256</v>
      </c>
    </row>
    <row r="39" spans="1:8">
      <c r="A39" s="588" t="s">
        <v>1679</v>
      </c>
      <c r="B39" s="350" t="s">
        <v>11223</v>
      </c>
      <c r="D39" s="580" t="s">
        <v>802</v>
      </c>
      <c r="E39" s="352" t="s">
        <v>392</v>
      </c>
      <c r="G39" s="579" t="s">
        <v>557</v>
      </c>
      <c r="H39" s="352" t="s">
        <v>570</v>
      </c>
    </row>
    <row r="40" spans="1:8">
      <c r="A40" s="588" t="s">
        <v>42</v>
      </c>
      <c r="B40" s="350" t="s">
        <v>142</v>
      </c>
      <c r="D40" s="580" t="s">
        <v>803</v>
      </c>
      <c r="E40" s="352" t="s">
        <v>353</v>
      </c>
      <c r="G40" s="579" t="s">
        <v>261</v>
      </c>
      <c r="H40" s="352" t="s">
        <v>1286</v>
      </c>
    </row>
    <row r="41" spans="1:8">
      <c r="A41" s="588" t="s">
        <v>43</v>
      </c>
      <c r="B41" s="350" t="s">
        <v>143</v>
      </c>
      <c r="D41" s="580" t="s">
        <v>880</v>
      </c>
      <c r="E41" s="352" t="s">
        <v>446</v>
      </c>
      <c r="G41" s="579" t="s">
        <v>10096</v>
      </c>
      <c r="H41" s="665" t="s">
        <v>11241</v>
      </c>
    </row>
    <row r="42" spans="1:8">
      <c r="A42" s="588" t="s">
        <v>44</v>
      </c>
      <c r="B42" s="350" t="s">
        <v>144</v>
      </c>
      <c r="D42" s="580" t="s">
        <v>804</v>
      </c>
      <c r="E42" s="352" t="s">
        <v>409</v>
      </c>
      <c r="G42" s="579" t="s">
        <v>558</v>
      </c>
      <c r="H42" s="352" t="s">
        <v>571</v>
      </c>
    </row>
    <row r="43" spans="1:8">
      <c r="A43" s="588" t="s">
        <v>11180</v>
      </c>
      <c r="B43" s="350" t="s">
        <v>11179</v>
      </c>
      <c r="D43" s="580" t="s">
        <v>805</v>
      </c>
      <c r="E43" s="352" t="s">
        <v>398</v>
      </c>
      <c r="G43" s="666" t="s">
        <v>10120</v>
      </c>
      <c r="H43" s="667" t="s">
        <v>11275</v>
      </c>
    </row>
    <row r="44" spans="1:8">
      <c r="A44" s="588" t="s">
        <v>45</v>
      </c>
      <c r="B44" s="350" t="s">
        <v>147</v>
      </c>
      <c r="D44" s="580" t="s">
        <v>875</v>
      </c>
      <c r="E44" s="352" t="s">
        <v>307</v>
      </c>
      <c r="G44" s="666" t="s">
        <v>10144</v>
      </c>
      <c r="H44" s="667" t="s">
        <v>11259</v>
      </c>
    </row>
    <row r="45" spans="1:8">
      <c r="A45" s="588" t="s">
        <v>46</v>
      </c>
      <c r="B45" s="350" t="s">
        <v>148</v>
      </c>
      <c r="D45" s="580" t="s">
        <v>1084</v>
      </c>
      <c r="E45" s="352" t="s">
        <v>480</v>
      </c>
      <c r="G45" s="666" t="s">
        <v>10171</v>
      </c>
      <c r="H45" s="668" t="s">
        <v>11252</v>
      </c>
    </row>
    <row r="46" spans="1:8">
      <c r="A46" s="588" t="s">
        <v>47</v>
      </c>
      <c r="B46" s="350" t="s">
        <v>149</v>
      </c>
      <c r="D46" s="580" t="s">
        <v>594</v>
      </c>
      <c r="E46" s="352" t="s">
        <v>352</v>
      </c>
      <c r="G46" s="666" t="s">
        <v>10185</v>
      </c>
      <c r="H46" s="667" t="s">
        <v>11269</v>
      </c>
    </row>
    <row r="47" spans="1:8">
      <c r="A47" s="588" t="s">
        <v>1737</v>
      </c>
      <c r="B47" s="350" t="s">
        <v>11228</v>
      </c>
      <c r="D47" s="580" t="s">
        <v>879</v>
      </c>
      <c r="E47" s="352" t="s">
        <v>309</v>
      </c>
      <c r="G47" s="666" t="s">
        <v>11240</v>
      </c>
      <c r="H47" s="667" t="s">
        <v>11239</v>
      </c>
    </row>
    <row r="48" spans="1:8">
      <c r="A48" s="588" t="s">
        <v>13</v>
      </c>
      <c r="B48" s="350" t="s">
        <v>150</v>
      </c>
      <c r="D48" s="580" t="s">
        <v>1090</v>
      </c>
      <c r="E48" s="352" t="s">
        <v>355</v>
      </c>
      <c r="G48" s="666" t="s">
        <v>11264</v>
      </c>
      <c r="H48" s="667" t="s">
        <v>11254</v>
      </c>
    </row>
    <row r="49" spans="1:8">
      <c r="A49" s="588" t="s">
        <v>48</v>
      </c>
      <c r="B49" s="350" t="s">
        <v>151</v>
      </c>
      <c r="D49" s="580" t="s">
        <v>602</v>
      </c>
      <c r="E49" s="352" t="s">
        <v>479</v>
      </c>
      <c r="G49" s="666" t="s">
        <v>10230</v>
      </c>
      <c r="H49" s="667" t="s">
        <v>11246</v>
      </c>
    </row>
    <row r="50" spans="1:8">
      <c r="A50" s="588" t="s">
        <v>49</v>
      </c>
      <c r="B50" s="350" t="s">
        <v>152</v>
      </c>
      <c r="D50" s="580" t="s">
        <v>601</v>
      </c>
      <c r="E50" s="353" t="s">
        <v>303</v>
      </c>
      <c r="G50" s="579" t="s">
        <v>559</v>
      </c>
      <c r="H50" s="352" t="s">
        <v>572</v>
      </c>
    </row>
    <row r="51" spans="1:8">
      <c r="A51" s="588" t="s">
        <v>50</v>
      </c>
      <c r="B51" s="350" t="s">
        <v>282</v>
      </c>
      <c r="D51" s="580" t="s">
        <v>877</v>
      </c>
      <c r="E51" s="352" t="s">
        <v>369</v>
      </c>
      <c r="G51" s="666" t="s">
        <v>10258</v>
      </c>
      <c r="H51" s="667" t="s">
        <v>11276</v>
      </c>
    </row>
    <row r="52" spans="1:8">
      <c r="A52" s="586" t="s">
        <v>1762</v>
      </c>
      <c r="B52" s="587" t="s">
        <v>11181</v>
      </c>
      <c r="D52" s="580" t="s">
        <v>603</v>
      </c>
      <c r="E52" s="352" t="s">
        <v>361</v>
      </c>
      <c r="G52" s="579" t="s">
        <v>560</v>
      </c>
      <c r="H52" s="352" t="s">
        <v>573</v>
      </c>
    </row>
    <row r="53" spans="1:8">
      <c r="A53" s="588" t="s">
        <v>51</v>
      </c>
      <c r="B53" s="350" t="s">
        <v>153</v>
      </c>
      <c r="D53" s="580" t="s">
        <v>604</v>
      </c>
      <c r="E53" s="352" t="s">
        <v>298</v>
      </c>
      <c r="G53" s="666" t="s">
        <v>11267</v>
      </c>
      <c r="H53" s="667" t="s">
        <v>11266</v>
      </c>
    </row>
    <row r="54" spans="1:8">
      <c r="A54" s="588" t="s">
        <v>52</v>
      </c>
      <c r="B54" s="350" t="s">
        <v>154</v>
      </c>
      <c r="D54" s="580" t="s">
        <v>605</v>
      </c>
      <c r="E54" s="352" t="s">
        <v>380</v>
      </c>
      <c r="G54" s="579" t="s">
        <v>561</v>
      </c>
      <c r="H54" s="352" t="s">
        <v>574</v>
      </c>
    </row>
    <row r="55" spans="1:8">
      <c r="A55" s="588" t="s">
        <v>53</v>
      </c>
      <c r="B55" s="350" t="s">
        <v>155</v>
      </c>
      <c r="D55" s="580" t="s">
        <v>606</v>
      </c>
      <c r="E55" s="352" t="s">
        <v>414</v>
      </c>
      <c r="G55" s="666" t="s">
        <v>11265</v>
      </c>
      <c r="H55" s="667" t="s">
        <v>11258</v>
      </c>
    </row>
    <row r="56" spans="1:8">
      <c r="A56" s="586" t="s">
        <v>1794</v>
      </c>
      <c r="B56" s="587" t="s">
        <v>11182</v>
      </c>
      <c r="D56" s="580" t="s">
        <v>607</v>
      </c>
      <c r="E56" s="352" t="s">
        <v>500</v>
      </c>
      <c r="G56" s="666" t="s">
        <v>10292</v>
      </c>
      <c r="H56" s="667" t="s">
        <v>11268</v>
      </c>
    </row>
    <row r="57" spans="1:8">
      <c r="A57" s="588" t="s">
        <v>54</v>
      </c>
      <c r="B57" s="350" t="s">
        <v>156</v>
      </c>
      <c r="D57" s="582" t="s">
        <v>4006</v>
      </c>
      <c r="E57" s="352" t="s">
        <v>11156</v>
      </c>
      <c r="G57" s="666" t="s">
        <v>10296</v>
      </c>
      <c r="H57" s="667" t="s">
        <v>11270</v>
      </c>
    </row>
    <row r="58" spans="1:8">
      <c r="A58" s="588" t="s">
        <v>55</v>
      </c>
      <c r="B58" s="350" t="s">
        <v>157</v>
      </c>
      <c r="D58" s="580" t="s">
        <v>608</v>
      </c>
      <c r="E58" s="352" t="s">
        <v>1249</v>
      </c>
      <c r="G58" s="666" t="s">
        <v>10310</v>
      </c>
      <c r="H58" s="667" t="s">
        <v>11255</v>
      </c>
    </row>
    <row r="59" spans="1:8">
      <c r="A59" s="588" t="s">
        <v>56</v>
      </c>
      <c r="B59" s="350" t="s">
        <v>158</v>
      </c>
      <c r="D59" s="580" t="s">
        <v>609</v>
      </c>
      <c r="E59" s="352" t="s">
        <v>511</v>
      </c>
      <c r="G59" s="579" t="s">
        <v>263</v>
      </c>
      <c r="H59" s="352" t="s">
        <v>547</v>
      </c>
    </row>
    <row r="60" spans="1:8">
      <c r="A60" s="588" t="s">
        <v>1810</v>
      </c>
      <c r="B60" s="350" t="s">
        <v>11224</v>
      </c>
      <c r="D60" s="580" t="s">
        <v>616</v>
      </c>
      <c r="E60" s="352" t="s">
        <v>336</v>
      </c>
      <c r="G60" s="579" t="s">
        <v>562</v>
      </c>
      <c r="H60" s="352" t="s">
        <v>575</v>
      </c>
    </row>
    <row r="61" spans="1:8">
      <c r="A61" s="588" t="s">
        <v>57</v>
      </c>
      <c r="B61" s="350" t="s">
        <v>159</v>
      </c>
      <c r="D61" s="579" t="s">
        <v>514</v>
      </c>
      <c r="E61" s="352" t="s">
        <v>498</v>
      </c>
      <c r="G61" s="579" t="s">
        <v>563</v>
      </c>
      <c r="H61" s="352" t="s">
        <v>576</v>
      </c>
    </row>
    <row r="62" spans="1:8">
      <c r="A62" s="588" t="s">
        <v>58</v>
      </c>
      <c r="B62" s="350" t="s">
        <v>285</v>
      </c>
      <c r="D62" s="580" t="s">
        <v>611</v>
      </c>
      <c r="E62" s="352" t="s">
        <v>410</v>
      </c>
      <c r="G62" s="579" t="s">
        <v>564</v>
      </c>
      <c r="H62" s="352" t="s">
        <v>577</v>
      </c>
    </row>
    <row r="63" spans="1:8">
      <c r="A63" s="588" t="s">
        <v>59</v>
      </c>
      <c r="B63" s="350" t="s">
        <v>160</v>
      </c>
      <c r="D63" s="589" t="s">
        <v>617</v>
      </c>
      <c r="E63" s="352" t="s">
        <v>372</v>
      </c>
      <c r="G63" s="579" t="s">
        <v>565</v>
      </c>
      <c r="H63" s="352" t="s">
        <v>578</v>
      </c>
    </row>
    <row r="64" spans="1:8">
      <c r="A64" s="588" t="s">
        <v>60</v>
      </c>
      <c r="B64" s="350" t="s">
        <v>286</v>
      </c>
      <c r="D64" s="589" t="s">
        <v>618</v>
      </c>
      <c r="E64" s="352" t="s">
        <v>335</v>
      </c>
      <c r="G64" s="579" t="s">
        <v>566</v>
      </c>
      <c r="H64" s="352" t="s">
        <v>579</v>
      </c>
    </row>
    <row r="65" spans="1:8">
      <c r="A65" s="588" t="s">
        <v>61</v>
      </c>
      <c r="B65" s="350" t="s">
        <v>161</v>
      </c>
      <c r="D65" s="589" t="s">
        <v>619</v>
      </c>
      <c r="E65" s="352" t="s">
        <v>450</v>
      </c>
      <c r="G65" s="666" t="s">
        <v>10778</v>
      </c>
      <c r="H65" s="667" t="s">
        <v>11248</v>
      </c>
    </row>
    <row r="66" spans="1:8">
      <c r="A66" s="588" t="s">
        <v>62</v>
      </c>
      <c r="B66" s="350" t="s">
        <v>162</v>
      </c>
      <c r="D66" s="589" t="s">
        <v>620</v>
      </c>
      <c r="E66" s="352" t="s">
        <v>815</v>
      </c>
      <c r="G66" s="666" t="s">
        <v>11243</v>
      </c>
      <c r="H66" s="667" t="s">
        <v>11242</v>
      </c>
    </row>
    <row r="67" spans="1:8">
      <c r="A67" s="588" t="s">
        <v>63</v>
      </c>
      <c r="B67" s="350" t="s">
        <v>163</v>
      </c>
      <c r="D67" s="589" t="s">
        <v>11304</v>
      </c>
      <c r="E67" s="352" t="s">
        <v>362</v>
      </c>
      <c r="G67" s="579" t="s">
        <v>567</v>
      </c>
      <c r="H67" s="352" t="s">
        <v>580</v>
      </c>
    </row>
    <row r="68" spans="1:8">
      <c r="A68" s="588" t="s">
        <v>14</v>
      </c>
      <c r="B68" s="350" t="s">
        <v>164</v>
      </c>
      <c r="D68" s="589" t="s">
        <v>622</v>
      </c>
      <c r="E68" s="352" t="s">
        <v>329</v>
      </c>
      <c r="G68" s="579" t="s">
        <v>264</v>
      </c>
      <c r="H68" s="352" t="s">
        <v>548</v>
      </c>
    </row>
    <row r="69" spans="1:8">
      <c r="A69" s="588" t="s">
        <v>1845</v>
      </c>
      <c r="B69" s="350" t="s">
        <v>11225</v>
      </c>
      <c r="D69" s="579" t="s">
        <v>513</v>
      </c>
      <c r="E69" s="352" t="s">
        <v>299</v>
      </c>
      <c r="G69" s="579" t="s">
        <v>568</v>
      </c>
      <c r="H69" s="352" t="s">
        <v>581</v>
      </c>
    </row>
    <row r="70" spans="1:8">
      <c r="A70" s="588" t="s">
        <v>64</v>
      </c>
      <c r="B70" s="350" t="s">
        <v>165</v>
      </c>
      <c r="D70" s="589" t="s">
        <v>882</v>
      </c>
      <c r="E70" s="352" t="s">
        <v>391</v>
      </c>
      <c r="G70" s="579" t="s">
        <v>1298</v>
      </c>
      <c r="H70" s="352" t="s">
        <v>582</v>
      </c>
    </row>
    <row r="71" spans="1:8">
      <c r="A71" s="588" t="s">
        <v>65</v>
      </c>
      <c r="B71" s="350" t="s">
        <v>166</v>
      </c>
      <c r="D71" s="589" t="s">
        <v>623</v>
      </c>
      <c r="E71" s="352" t="s">
        <v>478</v>
      </c>
      <c r="G71" s="579" t="s">
        <v>265</v>
      </c>
      <c r="H71" s="352" t="s">
        <v>549</v>
      </c>
    </row>
    <row r="72" spans="1:8">
      <c r="A72" s="588" t="s">
        <v>66</v>
      </c>
      <c r="B72" s="350" t="s">
        <v>167</v>
      </c>
      <c r="D72" s="589" t="s">
        <v>624</v>
      </c>
      <c r="E72" s="352" t="s">
        <v>462</v>
      </c>
      <c r="G72" s="666" t="s">
        <v>10940</v>
      </c>
      <c r="H72" s="667" t="s">
        <v>11251</v>
      </c>
    </row>
    <row r="73" spans="1:8">
      <c r="A73" s="588" t="s">
        <v>67</v>
      </c>
      <c r="B73" s="350" t="s">
        <v>288</v>
      </c>
      <c r="D73" s="579" t="s">
        <v>520</v>
      </c>
      <c r="E73" s="352" t="s">
        <v>448</v>
      </c>
      <c r="G73" s="579" t="s">
        <v>569</v>
      </c>
      <c r="H73" s="352" t="s">
        <v>583</v>
      </c>
    </row>
    <row r="74" spans="1:8">
      <c r="A74" s="588" t="s">
        <v>68</v>
      </c>
      <c r="B74" s="350" t="s">
        <v>168</v>
      </c>
      <c r="D74" s="579" t="s">
        <v>522</v>
      </c>
      <c r="E74" s="352" t="s">
        <v>461</v>
      </c>
      <c r="G74" s="579" t="s">
        <v>587</v>
      </c>
      <c r="H74" s="352" t="s">
        <v>584</v>
      </c>
    </row>
    <row r="75" spans="1:8">
      <c r="A75" s="588" t="s">
        <v>69</v>
      </c>
      <c r="B75" s="350" t="s">
        <v>169</v>
      </c>
      <c r="D75" s="589" t="s">
        <v>625</v>
      </c>
      <c r="E75" s="352" t="s">
        <v>443</v>
      </c>
      <c r="G75" s="579" t="s">
        <v>11238</v>
      </c>
      <c r="H75" s="665" t="s">
        <v>585</v>
      </c>
    </row>
    <row r="76" spans="1:8">
      <c r="A76" s="588" t="s">
        <v>70</v>
      </c>
      <c r="B76" s="350" t="s">
        <v>170</v>
      </c>
      <c r="D76" s="589" t="s">
        <v>1229</v>
      </c>
      <c r="E76" s="352" t="s">
        <v>1228</v>
      </c>
      <c r="G76" s="666" t="s">
        <v>11245</v>
      </c>
      <c r="H76" s="667" t="s">
        <v>11244</v>
      </c>
    </row>
    <row r="77" spans="1:8">
      <c r="A77" s="588" t="s">
        <v>1069</v>
      </c>
      <c r="B77" s="350" t="s">
        <v>1070</v>
      </c>
      <c r="D77" s="589" t="s">
        <v>626</v>
      </c>
      <c r="E77" s="352" t="s">
        <v>1262</v>
      </c>
      <c r="G77" s="579" t="s">
        <v>11008</v>
      </c>
      <c r="H77" s="352" t="s">
        <v>585</v>
      </c>
    </row>
    <row r="78" spans="1:8">
      <c r="A78" s="588" t="s">
        <v>71</v>
      </c>
      <c r="B78" s="350" t="s">
        <v>171</v>
      </c>
      <c r="D78" s="589" t="s">
        <v>627</v>
      </c>
      <c r="E78" s="352" t="s">
        <v>456</v>
      </c>
      <c r="G78" s="579" t="s">
        <v>266</v>
      </c>
      <c r="H78" s="352" t="s">
        <v>550</v>
      </c>
    </row>
    <row r="79" spans="1:8">
      <c r="A79" s="588" t="s">
        <v>72</v>
      </c>
      <c r="B79" s="350" t="s">
        <v>172</v>
      </c>
      <c r="D79" s="589" t="s">
        <v>628</v>
      </c>
      <c r="E79" s="352" t="s">
        <v>415</v>
      </c>
      <c r="G79" s="579" t="s">
        <v>588</v>
      </c>
      <c r="H79" s="352" t="s">
        <v>586</v>
      </c>
    </row>
    <row r="80" spans="1:8">
      <c r="A80" s="588" t="s">
        <v>73</v>
      </c>
      <c r="B80" s="350" t="s">
        <v>283</v>
      </c>
      <c r="D80" s="589" t="s">
        <v>629</v>
      </c>
      <c r="E80" s="352" t="s">
        <v>816</v>
      </c>
    </row>
    <row r="81" spans="1:5">
      <c r="A81" s="588" t="s">
        <v>74</v>
      </c>
      <c r="B81" s="350" t="s">
        <v>173</v>
      </c>
      <c r="D81" s="589" t="s">
        <v>630</v>
      </c>
      <c r="E81" s="352" t="s">
        <v>396</v>
      </c>
    </row>
    <row r="82" spans="1:5">
      <c r="A82" s="588" t="s">
        <v>75</v>
      </c>
      <c r="B82" s="350" t="s">
        <v>174</v>
      </c>
      <c r="D82" s="582" t="s">
        <v>235</v>
      </c>
      <c r="E82" s="352" t="s">
        <v>475</v>
      </c>
    </row>
    <row r="83" spans="1:5">
      <c r="A83" s="588" t="s">
        <v>77</v>
      </c>
      <c r="B83" s="350" t="s">
        <v>284</v>
      </c>
      <c r="D83" s="582" t="s">
        <v>236</v>
      </c>
      <c r="E83" s="352" t="s">
        <v>411</v>
      </c>
    </row>
    <row r="84" spans="1:5">
      <c r="A84" s="588" t="s">
        <v>78</v>
      </c>
      <c r="B84" s="350" t="s">
        <v>175</v>
      </c>
      <c r="D84" s="589" t="s">
        <v>631</v>
      </c>
      <c r="E84" s="352" t="s">
        <v>481</v>
      </c>
    </row>
    <row r="85" spans="1:5">
      <c r="A85" s="588" t="s">
        <v>79</v>
      </c>
      <c r="B85" s="350" t="s">
        <v>176</v>
      </c>
      <c r="D85" s="589" t="s">
        <v>632</v>
      </c>
      <c r="E85" s="352" t="s">
        <v>397</v>
      </c>
    </row>
    <row r="86" spans="1:5">
      <c r="A86" s="588" t="s">
        <v>2284</v>
      </c>
      <c r="B86" s="350" t="s">
        <v>11232</v>
      </c>
      <c r="D86" s="589" t="s">
        <v>633</v>
      </c>
      <c r="E86" s="352" t="s">
        <v>399</v>
      </c>
    </row>
    <row r="87" spans="1:5">
      <c r="A87" s="588" t="s">
        <v>80</v>
      </c>
      <c r="B87" s="350" t="s">
        <v>177</v>
      </c>
      <c r="D87" s="589" t="s">
        <v>634</v>
      </c>
      <c r="E87" s="352" t="s">
        <v>1270</v>
      </c>
    </row>
    <row r="88" spans="1:5">
      <c r="A88" s="588" t="s">
        <v>81</v>
      </c>
      <c r="B88" s="350" t="s">
        <v>178</v>
      </c>
      <c r="D88" s="589" t="s">
        <v>635</v>
      </c>
      <c r="E88" s="352" t="s">
        <v>1315</v>
      </c>
    </row>
    <row r="89" spans="1:5">
      <c r="A89" s="588" t="s">
        <v>865</v>
      </c>
      <c r="B89" s="350" t="s">
        <v>179</v>
      </c>
      <c r="D89" s="589" t="s">
        <v>636</v>
      </c>
      <c r="E89" s="352" t="s">
        <v>1314</v>
      </c>
    </row>
    <row r="90" spans="1:5">
      <c r="A90" s="588" t="s">
        <v>82</v>
      </c>
      <c r="B90" s="350" t="s">
        <v>180</v>
      </c>
      <c r="D90" s="589" t="s">
        <v>637</v>
      </c>
      <c r="E90" s="352" t="s">
        <v>1308</v>
      </c>
    </row>
    <row r="91" spans="1:5">
      <c r="A91" s="588" t="s">
        <v>83</v>
      </c>
      <c r="B91" s="350" t="s">
        <v>181</v>
      </c>
      <c r="D91" s="579" t="s">
        <v>518</v>
      </c>
      <c r="E91" s="352" t="s">
        <v>425</v>
      </c>
    </row>
    <row r="92" spans="1:5">
      <c r="A92" s="588" t="s">
        <v>84</v>
      </c>
      <c r="B92" s="350" t="s">
        <v>182</v>
      </c>
      <c r="D92" s="579" t="s">
        <v>4908</v>
      </c>
      <c r="E92" s="352" t="s">
        <v>11158</v>
      </c>
    </row>
    <row r="93" spans="1:5">
      <c r="A93" s="588" t="s">
        <v>85</v>
      </c>
      <c r="B93" s="350" t="s">
        <v>183</v>
      </c>
      <c r="D93" s="589" t="s">
        <v>638</v>
      </c>
      <c r="E93" s="352" t="s">
        <v>426</v>
      </c>
    </row>
    <row r="94" spans="1:5">
      <c r="A94" s="588" t="s">
        <v>858</v>
      </c>
      <c r="B94" s="350" t="s">
        <v>184</v>
      </c>
      <c r="D94" s="589" t="s">
        <v>524</v>
      </c>
      <c r="E94" s="352" t="s">
        <v>342</v>
      </c>
    </row>
    <row r="95" spans="1:5">
      <c r="A95" s="588" t="s">
        <v>86</v>
      </c>
      <c r="B95" s="350" t="s">
        <v>185</v>
      </c>
      <c r="D95" s="589" t="s">
        <v>639</v>
      </c>
      <c r="E95" s="352" t="s">
        <v>1232</v>
      </c>
    </row>
    <row r="96" spans="1:5">
      <c r="A96" s="588" t="s">
        <v>11</v>
      </c>
      <c r="B96" s="350" t="s">
        <v>12</v>
      </c>
      <c r="D96" s="589" t="s">
        <v>640</v>
      </c>
      <c r="E96" s="352" t="s">
        <v>385</v>
      </c>
    </row>
    <row r="97" spans="1:5">
      <c r="A97" s="588" t="s">
        <v>87</v>
      </c>
      <c r="B97" s="350" t="s">
        <v>186</v>
      </c>
      <c r="D97" s="589" t="s">
        <v>641</v>
      </c>
      <c r="E97" s="352" t="s">
        <v>407</v>
      </c>
    </row>
    <row r="98" spans="1:5">
      <c r="A98" s="588" t="s">
        <v>88</v>
      </c>
      <c r="B98" s="350" t="s">
        <v>187</v>
      </c>
      <c r="D98" s="580" t="s">
        <v>5013</v>
      </c>
      <c r="E98" s="352" t="s">
        <v>11159</v>
      </c>
    </row>
    <row r="99" spans="1:5">
      <c r="A99" s="586" t="s">
        <v>2555</v>
      </c>
      <c r="B99" s="587" t="s">
        <v>11183</v>
      </c>
      <c r="D99" s="589" t="s">
        <v>642</v>
      </c>
      <c r="E99" s="352" t="s">
        <v>817</v>
      </c>
    </row>
    <row r="100" spans="1:5">
      <c r="A100" s="588" t="s">
        <v>89</v>
      </c>
      <c r="B100" s="350" t="s">
        <v>188</v>
      </c>
      <c r="D100" s="589" t="s">
        <v>643</v>
      </c>
      <c r="E100" s="352" t="s">
        <v>382</v>
      </c>
    </row>
    <row r="101" spans="1:5">
      <c r="A101" s="588" t="s">
        <v>90</v>
      </c>
      <c r="B101" s="350" t="s">
        <v>189</v>
      </c>
      <c r="D101" s="589" t="s">
        <v>596</v>
      </c>
      <c r="E101" s="352" t="s">
        <v>412</v>
      </c>
    </row>
    <row r="102" spans="1:5">
      <c r="A102" s="588" t="s">
        <v>1086</v>
      </c>
      <c r="B102" s="350" t="s">
        <v>190</v>
      </c>
      <c r="D102" s="589" t="s">
        <v>644</v>
      </c>
      <c r="E102" s="352" t="s">
        <v>508</v>
      </c>
    </row>
    <row r="103" spans="1:5">
      <c r="A103" s="588" t="s">
        <v>92</v>
      </c>
      <c r="B103" s="350" t="s">
        <v>191</v>
      </c>
      <c r="D103" s="589" t="s">
        <v>645</v>
      </c>
      <c r="E103" s="352" t="s">
        <v>416</v>
      </c>
    </row>
    <row r="104" spans="1:5">
      <c r="A104" s="588" t="s">
        <v>93</v>
      </c>
      <c r="B104" s="350" t="s">
        <v>192</v>
      </c>
      <c r="D104" s="589" t="s">
        <v>11230</v>
      </c>
      <c r="E104" s="352" t="s">
        <v>11229</v>
      </c>
    </row>
    <row r="105" spans="1:5">
      <c r="A105" s="588" t="s">
        <v>94</v>
      </c>
      <c r="B105" s="350" t="s">
        <v>193</v>
      </c>
      <c r="D105" s="581" t="s">
        <v>11220</v>
      </c>
      <c r="E105" s="383" t="s">
        <v>1300</v>
      </c>
    </row>
    <row r="106" spans="1:5">
      <c r="A106" s="588" t="s">
        <v>95</v>
      </c>
      <c r="B106" s="350" t="s">
        <v>194</v>
      </c>
      <c r="D106" s="589" t="s">
        <v>646</v>
      </c>
      <c r="E106" s="352" t="s">
        <v>455</v>
      </c>
    </row>
    <row r="107" spans="1:5">
      <c r="A107" s="588" t="s">
        <v>96</v>
      </c>
      <c r="B107" s="350" t="s">
        <v>279</v>
      </c>
      <c r="D107" s="589" t="s">
        <v>647</v>
      </c>
      <c r="E107" s="352" t="s">
        <v>1087</v>
      </c>
    </row>
    <row r="108" spans="1:5">
      <c r="A108" s="588" t="s">
        <v>97</v>
      </c>
      <c r="B108" s="350" t="s">
        <v>195</v>
      </c>
      <c r="D108" s="589" t="s">
        <v>648</v>
      </c>
      <c r="E108" s="352" t="s">
        <v>1309</v>
      </c>
    </row>
    <row r="109" spans="1:5">
      <c r="A109" s="588" t="s">
        <v>98</v>
      </c>
      <c r="B109" s="350" t="s">
        <v>196</v>
      </c>
      <c r="D109" s="589" t="s">
        <v>649</v>
      </c>
      <c r="E109" s="352" t="s">
        <v>343</v>
      </c>
    </row>
    <row r="110" spans="1:5">
      <c r="A110" s="588" t="s">
        <v>99</v>
      </c>
      <c r="B110" s="350" t="s">
        <v>197</v>
      </c>
      <c r="D110" s="589" t="s">
        <v>5288</v>
      </c>
      <c r="E110" s="352" t="s">
        <v>11234</v>
      </c>
    </row>
    <row r="111" spans="1:5">
      <c r="A111" s="588" t="s">
        <v>100</v>
      </c>
      <c r="B111" s="350" t="s">
        <v>198</v>
      </c>
      <c r="D111" s="589" t="s">
        <v>756</v>
      </c>
      <c r="E111" s="352" t="s">
        <v>1246</v>
      </c>
    </row>
    <row r="112" spans="1:5">
      <c r="A112" s="588" t="s">
        <v>101</v>
      </c>
      <c r="B112" s="350" t="s">
        <v>287</v>
      </c>
      <c r="D112" s="589" t="s">
        <v>650</v>
      </c>
      <c r="E112" s="352" t="s">
        <v>818</v>
      </c>
    </row>
    <row r="113" spans="1:5">
      <c r="A113" s="588" t="s">
        <v>1071</v>
      </c>
      <c r="B113" s="350" t="s">
        <v>199</v>
      </c>
      <c r="D113" s="589" t="s">
        <v>651</v>
      </c>
      <c r="E113" s="352" t="s">
        <v>381</v>
      </c>
    </row>
    <row r="114" spans="1:5">
      <c r="A114" s="586" t="s">
        <v>11185</v>
      </c>
      <c r="B114" s="587" t="s">
        <v>11184</v>
      </c>
      <c r="D114" s="589" t="s">
        <v>652</v>
      </c>
      <c r="E114" s="352" t="s">
        <v>526</v>
      </c>
    </row>
    <row r="115" spans="1:5">
      <c r="A115" s="588" t="s">
        <v>102</v>
      </c>
      <c r="B115" s="350" t="s">
        <v>200</v>
      </c>
      <c r="D115" s="589" t="s">
        <v>653</v>
      </c>
      <c r="E115" s="352" t="s">
        <v>423</v>
      </c>
    </row>
    <row r="116" spans="1:5">
      <c r="A116" s="588" t="s">
        <v>103</v>
      </c>
      <c r="B116" s="350" t="s">
        <v>201</v>
      </c>
      <c r="D116" s="589" t="s">
        <v>1077</v>
      </c>
      <c r="E116" s="352" t="s">
        <v>387</v>
      </c>
    </row>
    <row r="117" spans="1:5">
      <c r="A117" s="588" t="s">
        <v>104</v>
      </c>
      <c r="B117" s="350" t="s">
        <v>202</v>
      </c>
      <c r="D117" s="589" t="s">
        <v>654</v>
      </c>
      <c r="E117" s="352" t="s">
        <v>304</v>
      </c>
    </row>
    <row r="118" spans="1:5">
      <c r="A118" s="588" t="s">
        <v>105</v>
      </c>
      <c r="B118" s="350" t="s">
        <v>203</v>
      </c>
      <c r="D118" s="589" t="s">
        <v>655</v>
      </c>
      <c r="E118" s="352" t="s">
        <v>328</v>
      </c>
    </row>
    <row r="119" spans="1:5">
      <c r="A119" s="588" t="s">
        <v>106</v>
      </c>
      <c r="B119" s="350" t="s">
        <v>204</v>
      </c>
      <c r="D119" s="589" t="s">
        <v>656</v>
      </c>
      <c r="E119" s="352" t="s">
        <v>441</v>
      </c>
    </row>
    <row r="120" spans="1:5">
      <c r="A120" s="588" t="s">
        <v>107</v>
      </c>
      <c r="B120" s="350" t="s">
        <v>205</v>
      </c>
      <c r="D120" s="589" t="s">
        <v>1075</v>
      </c>
      <c r="E120" s="352" t="s">
        <v>346</v>
      </c>
    </row>
    <row r="121" spans="1:5">
      <c r="A121" s="588" t="s">
        <v>872</v>
      </c>
      <c r="B121" s="350" t="s">
        <v>873</v>
      </c>
      <c r="D121" s="589" t="s">
        <v>657</v>
      </c>
      <c r="E121" s="352" t="s">
        <v>483</v>
      </c>
    </row>
    <row r="122" spans="1:5">
      <c r="A122" s="588" t="s">
        <v>108</v>
      </c>
      <c r="B122" s="350" t="s">
        <v>206</v>
      </c>
      <c r="D122" s="589" t="s">
        <v>658</v>
      </c>
      <c r="E122" s="352" t="s">
        <v>495</v>
      </c>
    </row>
    <row r="123" spans="1:5">
      <c r="A123" s="588" t="s">
        <v>109</v>
      </c>
      <c r="B123" s="350" t="s">
        <v>207</v>
      </c>
      <c r="D123" s="589" t="s">
        <v>659</v>
      </c>
      <c r="E123" s="352" t="s">
        <v>404</v>
      </c>
    </row>
    <row r="124" spans="1:5">
      <c r="A124" s="588" t="s">
        <v>110</v>
      </c>
      <c r="B124" s="350" t="s">
        <v>208</v>
      </c>
      <c r="D124" s="589" t="s">
        <v>660</v>
      </c>
      <c r="E124" s="352" t="s">
        <v>485</v>
      </c>
    </row>
    <row r="125" spans="1:5">
      <c r="A125" s="588" t="s">
        <v>1085</v>
      </c>
      <c r="B125" s="350" t="s">
        <v>209</v>
      </c>
      <c r="D125" s="589" t="s">
        <v>661</v>
      </c>
      <c r="E125" s="352" t="s">
        <v>819</v>
      </c>
    </row>
    <row r="126" spans="1:5">
      <c r="A126" s="588" t="s">
        <v>111</v>
      </c>
      <c r="B126" s="350" t="s">
        <v>210</v>
      </c>
      <c r="D126" s="582" t="s">
        <v>5602</v>
      </c>
      <c r="E126" s="352" t="s">
        <v>11235</v>
      </c>
    </row>
    <row r="127" spans="1:5">
      <c r="A127" s="588" t="s">
        <v>112</v>
      </c>
      <c r="B127" s="350" t="s">
        <v>211</v>
      </c>
      <c r="D127" s="589" t="s">
        <v>662</v>
      </c>
      <c r="E127" s="352" t="s">
        <v>1088</v>
      </c>
    </row>
    <row r="128" spans="1:5">
      <c r="A128" s="588" t="s">
        <v>113</v>
      </c>
      <c r="B128" s="350" t="s">
        <v>212</v>
      </c>
      <c r="D128" s="579" t="s">
        <v>523</v>
      </c>
      <c r="E128" s="352" t="s">
        <v>493</v>
      </c>
    </row>
    <row r="129" spans="1:5">
      <c r="A129" s="588" t="s">
        <v>114</v>
      </c>
      <c r="B129" s="350" t="s">
        <v>213</v>
      </c>
      <c r="D129" s="589" t="s">
        <v>589</v>
      </c>
      <c r="E129" s="352" t="s">
        <v>453</v>
      </c>
    </row>
    <row r="130" spans="1:5">
      <c r="A130" s="588" t="s">
        <v>1068</v>
      </c>
      <c r="B130" s="350" t="s">
        <v>214</v>
      </c>
      <c r="D130" s="589" t="s">
        <v>663</v>
      </c>
      <c r="E130" s="352" t="s">
        <v>1268</v>
      </c>
    </row>
    <row r="131" spans="1:5">
      <c r="A131" s="588" t="s">
        <v>115</v>
      </c>
      <c r="B131" s="350" t="s">
        <v>215</v>
      </c>
      <c r="D131" s="589" t="s">
        <v>664</v>
      </c>
      <c r="E131" s="352" t="s">
        <v>505</v>
      </c>
    </row>
    <row r="132" spans="1:5">
      <c r="A132" s="588" t="s">
        <v>116</v>
      </c>
      <c r="B132" s="350" t="s">
        <v>216</v>
      </c>
      <c r="D132" s="589" t="s">
        <v>665</v>
      </c>
      <c r="E132" s="352" t="s">
        <v>330</v>
      </c>
    </row>
    <row r="133" spans="1:5">
      <c r="A133" s="586" t="s">
        <v>11187</v>
      </c>
      <c r="B133" s="587" t="s">
        <v>11186</v>
      </c>
      <c r="D133" s="589" t="s">
        <v>666</v>
      </c>
      <c r="E133" s="352" t="s">
        <v>469</v>
      </c>
    </row>
    <row r="134" spans="1:5">
      <c r="A134" s="581" t="s">
        <v>11188</v>
      </c>
      <c r="B134" s="383" t="s">
        <v>11302</v>
      </c>
      <c r="D134" s="589" t="s">
        <v>533</v>
      </c>
      <c r="E134" s="352" t="s">
        <v>405</v>
      </c>
    </row>
    <row r="135" spans="1:5">
      <c r="A135" s="588" t="s">
        <v>867</v>
      </c>
      <c r="B135" s="350" t="s">
        <v>868</v>
      </c>
      <c r="D135" s="579" t="s">
        <v>517</v>
      </c>
      <c r="E135" s="352" t="s">
        <v>390</v>
      </c>
    </row>
    <row r="136" spans="1:5">
      <c r="A136" s="588" t="s">
        <v>874</v>
      </c>
      <c r="B136" s="350" t="s">
        <v>217</v>
      </c>
      <c r="D136" s="589" t="s">
        <v>667</v>
      </c>
      <c r="E136" s="352" t="s">
        <v>1259</v>
      </c>
    </row>
    <row r="137" spans="1:5">
      <c r="A137" s="588" t="s">
        <v>117</v>
      </c>
      <c r="B137" s="350" t="s">
        <v>218</v>
      </c>
      <c r="D137" s="589" t="s">
        <v>597</v>
      </c>
      <c r="E137" s="352" t="s">
        <v>323</v>
      </c>
    </row>
    <row r="138" spans="1:5">
      <c r="A138" s="588" t="s">
        <v>870</v>
      </c>
      <c r="B138" s="350" t="s">
        <v>219</v>
      </c>
      <c r="D138" s="589" t="s">
        <v>5755</v>
      </c>
      <c r="E138" s="352" t="s">
        <v>11157</v>
      </c>
    </row>
    <row r="139" spans="1:5">
      <c r="A139" s="588" t="s">
        <v>869</v>
      </c>
      <c r="B139" s="350" t="s">
        <v>220</v>
      </c>
      <c r="D139" s="579" t="s">
        <v>11122</v>
      </c>
      <c r="E139" s="352" t="s">
        <v>356</v>
      </c>
    </row>
    <row r="140" spans="1:5">
      <c r="A140" s="588" t="s">
        <v>118</v>
      </c>
      <c r="B140" s="350" t="s">
        <v>221</v>
      </c>
      <c r="D140" s="589" t="s">
        <v>668</v>
      </c>
      <c r="E140" s="352" t="s">
        <v>1072</v>
      </c>
    </row>
    <row r="141" spans="1:5">
      <c r="A141" s="588" t="s">
        <v>866</v>
      </c>
      <c r="B141" s="350" t="s">
        <v>222</v>
      </c>
      <c r="D141" s="589" t="s">
        <v>669</v>
      </c>
      <c r="E141" s="352" t="s">
        <v>1250</v>
      </c>
    </row>
    <row r="142" spans="1:5">
      <c r="D142" s="589" t="s">
        <v>670</v>
      </c>
      <c r="E142" s="352" t="s">
        <v>821</v>
      </c>
    </row>
    <row r="143" spans="1:5">
      <c r="D143" s="589" t="s">
        <v>671</v>
      </c>
      <c r="E143" s="352" t="s">
        <v>348</v>
      </c>
    </row>
    <row r="144" spans="1:5">
      <c r="D144" s="589" t="s">
        <v>826</v>
      </c>
      <c r="E144" s="352" t="s">
        <v>1303</v>
      </c>
    </row>
    <row r="145" spans="4:5">
      <c r="D145" s="589" t="s">
        <v>598</v>
      </c>
      <c r="E145" s="590" t="s">
        <v>2</v>
      </c>
    </row>
    <row r="146" spans="4:5">
      <c r="D146" s="589" t="s">
        <v>1293</v>
      </c>
      <c r="E146" s="352" t="s">
        <v>1304</v>
      </c>
    </row>
    <row r="147" spans="4:5">
      <c r="D147" s="589" t="s">
        <v>672</v>
      </c>
      <c r="E147" s="352" t="s">
        <v>1311</v>
      </c>
    </row>
    <row r="148" spans="4:5">
      <c r="D148" s="580" t="s">
        <v>11161</v>
      </c>
      <c r="E148" s="352" t="s">
        <v>11160</v>
      </c>
    </row>
    <row r="149" spans="4:5">
      <c r="D149" s="589" t="s">
        <v>673</v>
      </c>
      <c r="E149" s="352" t="s">
        <v>1302</v>
      </c>
    </row>
    <row r="150" spans="4:5">
      <c r="D150" s="589" t="s">
        <v>674</v>
      </c>
      <c r="E150" s="352" t="s">
        <v>438</v>
      </c>
    </row>
    <row r="151" spans="4:5">
      <c r="D151" s="589" t="s">
        <v>675</v>
      </c>
      <c r="E151" s="352" t="s">
        <v>389</v>
      </c>
    </row>
    <row r="152" spans="4:5">
      <c r="D152" s="589" t="s">
        <v>676</v>
      </c>
      <c r="E152" s="352" t="s">
        <v>300</v>
      </c>
    </row>
    <row r="153" spans="4:5">
      <c r="D153" s="589" t="s">
        <v>677</v>
      </c>
      <c r="E153" s="352" t="s">
        <v>338</v>
      </c>
    </row>
    <row r="154" spans="4:5">
      <c r="D154" s="579" t="s">
        <v>521</v>
      </c>
      <c r="E154" s="352" t="s">
        <v>459</v>
      </c>
    </row>
    <row r="155" spans="4:5">
      <c r="D155" s="579" t="s">
        <v>516</v>
      </c>
      <c r="E155" s="352" t="s">
        <v>378</v>
      </c>
    </row>
    <row r="156" spans="4:5">
      <c r="D156" s="589" t="s">
        <v>678</v>
      </c>
      <c r="E156" s="352" t="s">
        <v>1266</v>
      </c>
    </row>
    <row r="157" spans="4:5">
      <c r="D157" s="589" t="s">
        <v>679</v>
      </c>
      <c r="E157" s="352" t="s">
        <v>429</v>
      </c>
    </row>
    <row r="158" spans="4:5">
      <c r="D158" s="589" t="s">
        <v>680</v>
      </c>
      <c r="E158" s="352" t="s">
        <v>1278</v>
      </c>
    </row>
    <row r="159" spans="4:5">
      <c r="D159" s="589" t="s">
        <v>681</v>
      </c>
      <c r="E159" s="352" t="s">
        <v>1258</v>
      </c>
    </row>
    <row r="160" spans="4:5">
      <c r="D160" s="589" t="s">
        <v>682</v>
      </c>
      <c r="E160" s="352" t="s">
        <v>1265</v>
      </c>
    </row>
    <row r="161" spans="4:5">
      <c r="D161" s="589" t="s">
        <v>683</v>
      </c>
      <c r="E161" s="352" t="s">
        <v>327</v>
      </c>
    </row>
    <row r="162" spans="4:5">
      <c r="D162" s="589" t="s">
        <v>684</v>
      </c>
      <c r="E162" s="352" t="s">
        <v>393</v>
      </c>
    </row>
    <row r="163" spans="4:5">
      <c r="D163" s="589" t="s">
        <v>685</v>
      </c>
      <c r="E163" s="352" t="s">
        <v>1269</v>
      </c>
    </row>
    <row r="164" spans="4:5">
      <c r="D164" s="589" t="s">
        <v>686</v>
      </c>
      <c r="E164" s="352" t="s">
        <v>375</v>
      </c>
    </row>
    <row r="165" spans="4:5">
      <c r="D165" s="589" t="s">
        <v>687</v>
      </c>
      <c r="E165" s="352" t="s">
        <v>492</v>
      </c>
    </row>
    <row r="166" spans="4:5">
      <c r="D166" s="589" t="s">
        <v>688</v>
      </c>
      <c r="E166" s="352" t="s">
        <v>482</v>
      </c>
    </row>
    <row r="167" spans="4:5">
      <c r="D167" s="580" t="s">
        <v>6227</v>
      </c>
      <c r="E167" s="352" t="s">
        <v>11219</v>
      </c>
    </row>
    <row r="168" spans="4:5">
      <c r="D168" s="589" t="s">
        <v>689</v>
      </c>
      <c r="E168" s="352" t="s">
        <v>312</v>
      </c>
    </row>
    <row r="169" spans="4:5">
      <c r="D169" s="589" t="s">
        <v>690</v>
      </c>
      <c r="E169" s="352" t="s">
        <v>363</v>
      </c>
    </row>
    <row r="170" spans="4:5">
      <c r="D170" s="589" t="s">
        <v>691</v>
      </c>
      <c r="E170" s="352" t="s">
        <v>350</v>
      </c>
    </row>
    <row r="171" spans="4:5">
      <c r="D171" s="589" t="s">
        <v>1082</v>
      </c>
      <c r="E171" s="352" t="s">
        <v>436</v>
      </c>
    </row>
    <row r="172" spans="4:5">
      <c r="D172" s="589" t="s">
        <v>1080</v>
      </c>
      <c r="E172" s="352" t="s">
        <v>1081</v>
      </c>
    </row>
    <row r="173" spans="4:5">
      <c r="D173" s="589" t="s">
        <v>692</v>
      </c>
      <c r="E173" s="352" t="s">
        <v>463</v>
      </c>
    </row>
    <row r="174" spans="4:5">
      <c r="D174" s="580" t="s">
        <v>6343</v>
      </c>
      <c r="E174" s="352" t="s">
        <v>11231</v>
      </c>
    </row>
    <row r="175" spans="4:5">
      <c r="D175" s="589" t="s">
        <v>693</v>
      </c>
      <c r="E175" s="352" t="s">
        <v>1076</v>
      </c>
    </row>
    <row r="176" spans="4:5">
      <c r="D176" s="589" t="s">
        <v>694</v>
      </c>
      <c r="E176" s="352" t="s">
        <v>1257</v>
      </c>
    </row>
    <row r="177" spans="4:5">
      <c r="D177" s="589" t="s">
        <v>695</v>
      </c>
      <c r="E177" s="352" t="s">
        <v>1277</v>
      </c>
    </row>
    <row r="178" spans="4:5">
      <c r="D178" s="589" t="s">
        <v>536</v>
      </c>
      <c r="E178" s="352" t="s">
        <v>458</v>
      </c>
    </row>
    <row r="179" spans="4:5">
      <c r="D179" s="589" t="s">
        <v>696</v>
      </c>
      <c r="E179" s="352" t="s">
        <v>491</v>
      </c>
    </row>
    <row r="180" spans="4:5">
      <c r="D180" s="589" t="s">
        <v>753</v>
      </c>
      <c r="E180" s="352" t="s">
        <v>502</v>
      </c>
    </row>
    <row r="181" spans="4:5">
      <c r="D181" s="589" t="s">
        <v>697</v>
      </c>
      <c r="E181" s="352" t="s">
        <v>486</v>
      </c>
    </row>
    <row r="182" spans="4:5">
      <c r="D182" s="589" t="s">
        <v>698</v>
      </c>
      <c r="E182" s="352" t="s">
        <v>822</v>
      </c>
    </row>
    <row r="183" spans="4:5">
      <c r="D183" s="589" t="s">
        <v>699</v>
      </c>
      <c r="E183" s="352" t="s">
        <v>377</v>
      </c>
    </row>
    <row r="184" spans="4:5">
      <c r="D184" s="589" t="s">
        <v>700</v>
      </c>
      <c r="E184" s="352" t="s">
        <v>419</v>
      </c>
    </row>
    <row r="185" spans="4:5">
      <c r="D185" s="589" t="s">
        <v>701</v>
      </c>
      <c r="E185" s="352" t="s">
        <v>537</v>
      </c>
    </row>
    <row r="186" spans="4:5">
      <c r="D186" s="589" t="s">
        <v>702</v>
      </c>
      <c r="E186" s="352" t="s">
        <v>527</v>
      </c>
    </row>
    <row r="187" spans="4:5">
      <c r="D187" s="582" t="s">
        <v>224</v>
      </c>
      <c r="E187" s="352" t="s">
        <v>1285</v>
      </c>
    </row>
    <row r="188" spans="4:5">
      <c r="D188" s="582" t="s">
        <v>225</v>
      </c>
      <c r="E188" s="352" t="s">
        <v>437</v>
      </c>
    </row>
    <row r="189" spans="4:5">
      <c r="D189" s="589" t="s">
        <v>703</v>
      </c>
      <c r="E189" s="352" t="s">
        <v>347</v>
      </c>
    </row>
    <row r="190" spans="4:5">
      <c r="D190" s="582" t="s">
        <v>226</v>
      </c>
      <c r="E190" s="352" t="s">
        <v>319</v>
      </c>
    </row>
    <row r="191" spans="4:5">
      <c r="D191" s="582" t="s">
        <v>227</v>
      </c>
      <c r="E191" s="352" t="s">
        <v>1256</v>
      </c>
    </row>
    <row r="192" spans="4:5">
      <c r="D192" s="582" t="s">
        <v>228</v>
      </c>
      <c r="E192" s="352" t="s">
        <v>422</v>
      </c>
    </row>
    <row r="193" spans="4:5">
      <c r="D193" s="582" t="s">
        <v>259</v>
      </c>
      <c r="E193" s="352" t="s">
        <v>440</v>
      </c>
    </row>
    <row r="194" spans="4:5">
      <c r="D194" s="582" t="s">
        <v>254</v>
      </c>
      <c r="E194" s="352" t="s">
        <v>507</v>
      </c>
    </row>
    <row r="195" spans="4:5">
      <c r="D195" s="582" t="s">
        <v>255</v>
      </c>
      <c r="E195" s="352" t="s">
        <v>442</v>
      </c>
    </row>
    <row r="196" spans="4:5">
      <c r="D196" s="582" t="s">
        <v>229</v>
      </c>
      <c r="E196" s="352" t="s">
        <v>1272</v>
      </c>
    </row>
    <row r="197" spans="4:5">
      <c r="D197" s="582" t="s">
        <v>245</v>
      </c>
      <c r="E197" s="352" t="s">
        <v>1244</v>
      </c>
    </row>
    <row r="198" spans="4:5">
      <c r="D198" s="589" t="s">
        <v>704</v>
      </c>
      <c r="E198" s="352" t="s">
        <v>449</v>
      </c>
    </row>
    <row r="199" spans="4:5">
      <c r="D199" s="589" t="s">
        <v>705</v>
      </c>
      <c r="E199" s="352" t="s">
        <v>460</v>
      </c>
    </row>
    <row r="200" spans="4:5">
      <c r="D200" s="589" t="s">
        <v>706</v>
      </c>
      <c r="E200" s="352" t="s">
        <v>270</v>
      </c>
    </row>
    <row r="201" spans="4:5">
      <c r="D201" s="589" t="s">
        <v>707</v>
      </c>
      <c r="E201" s="352" t="s">
        <v>504</v>
      </c>
    </row>
    <row r="202" spans="4:5">
      <c r="D202" s="580" t="s">
        <v>11168</v>
      </c>
      <c r="E202" s="352" t="s">
        <v>11167</v>
      </c>
    </row>
    <row r="203" spans="4:5">
      <c r="D203" s="589" t="s">
        <v>708</v>
      </c>
      <c r="E203" s="352" t="s">
        <v>349</v>
      </c>
    </row>
    <row r="204" spans="4:5">
      <c r="D204" s="589" t="s">
        <v>709</v>
      </c>
      <c r="E204" s="352" t="s">
        <v>339</v>
      </c>
    </row>
    <row r="205" spans="4:5">
      <c r="D205" s="589" t="s">
        <v>710</v>
      </c>
      <c r="E205" s="352" t="s">
        <v>1239</v>
      </c>
    </row>
    <row r="206" spans="4:5">
      <c r="D206" s="589" t="s">
        <v>711</v>
      </c>
      <c r="E206" s="352" t="s">
        <v>445</v>
      </c>
    </row>
    <row r="207" spans="4:5">
      <c r="D207" s="582" t="s">
        <v>244</v>
      </c>
      <c r="E207" s="352" t="s">
        <v>365</v>
      </c>
    </row>
    <row r="208" spans="4:5">
      <c r="D208" s="582" t="s">
        <v>230</v>
      </c>
      <c r="E208" s="352" t="s">
        <v>315</v>
      </c>
    </row>
    <row r="209" spans="4:5">
      <c r="D209" s="582" t="s">
        <v>231</v>
      </c>
      <c r="E209" s="352" t="s">
        <v>344</v>
      </c>
    </row>
    <row r="210" spans="4:5">
      <c r="D210" s="582" t="s">
        <v>232</v>
      </c>
      <c r="E210" s="352" t="s">
        <v>1253</v>
      </c>
    </row>
    <row r="211" spans="4:5">
      <c r="D211" s="582" t="s">
        <v>233</v>
      </c>
      <c r="E211" s="352" t="s">
        <v>384</v>
      </c>
    </row>
    <row r="212" spans="4:5">
      <c r="D212" s="582" t="s">
        <v>234</v>
      </c>
      <c r="E212" s="352" t="s">
        <v>466</v>
      </c>
    </row>
    <row r="213" spans="4:5">
      <c r="D213" s="589" t="s">
        <v>712</v>
      </c>
      <c r="E213" s="352" t="s">
        <v>326</v>
      </c>
    </row>
    <row r="214" spans="4:5">
      <c r="D214" s="582" t="s">
        <v>237</v>
      </c>
      <c r="E214" s="352" t="s">
        <v>1234</v>
      </c>
    </row>
    <row r="215" spans="4:5">
      <c r="D215" s="582" t="s">
        <v>238</v>
      </c>
      <c r="E215" s="352" t="s">
        <v>489</v>
      </c>
    </row>
    <row r="216" spans="4:5">
      <c r="D216" s="582" t="s">
        <v>239</v>
      </c>
      <c r="E216" s="352" t="s">
        <v>401</v>
      </c>
    </row>
    <row r="217" spans="4:5">
      <c r="D217" s="589" t="s">
        <v>713</v>
      </c>
      <c r="E217" s="352" t="s">
        <v>271</v>
      </c>
    </row>
    <row r="218" spans="4:5">
      <c r="D218" s="589" t="s">
        <v>714</v>
      </c>
      <c r="E218" s="352" t="s">
        <v>383</v>
      </c>
    </row>
    <row r="219" spans="4:5">
      <c r="D219" s="589" t="s">
        <v>715</v>
      </c>
      <c r="E219" s="352" t="s">
        <v>337</v>
      </c>
    </row>
    <row r="220" spans="4:5">
      <c r="D220" s="589" t="s">
        <v>716</v>
      </c>
      <c r="E220" s="352" t="s">
        <v>494</v>
      </c>
    </row>
    <row r="221" spans="4:5">
      <c r="D221" s="582" t="s">
        <v>240</v>
      </c>
      <c r="E221" s="352" t="s">
        <v>373</v>
      </c>
    </row>
    <row r="222" spans="4:5">
      <c r="D222" s="589" t="s">
        <v>717</v>
      </c>
      <c r="E222" s="352" t="s">
        <v>313</v>
      </c>
    </row>
    <row r="223" spans="4:5">
      <c r="D223" s="589" t="s">
        <v>718</v>
      </c>
      <c r="E223" s="352" t="s">
        <v>503</v>
      </c>
    </row>
    <row r="224" spans="4:5">
      <c r="D224" s="589" t="s">
        <v>719</v>
      </c>
      <c r="E224" s="352" t="s">
        <v>510</v>
      </c>
    </row>
    <row r="225" spans="4:5">
      <c r="D225" s="582" t="s">
        <v>242</v>
      </c>
      <c r="E225" s="352" t="s">
        <v>1296</v>
      </c>
    </row>
    <row r="226" spans="4:5">
      <c r="D226" s="582" t="s">
        <v>243</v>
      </c>
      <c r="E226" s="352" t="s">
        <v>465</v>
      </c>
    </row>
    <row r="227" spans="4:5">
      <c r="D227" s="582" t="s">
        <v>241</v>
      </c>
      <c r="E227" s="590" t="s">
        <v>3</v>
      </c>
    </row>
    <row r="228" spans="4:5">
      <c r="D228" s="580" t="s">
        <v>11163</v>
      </c>
      <c r="E228" s="352" t="s">
        <v>11162</v>
      </c>
    </row>
    <row r="229" spans="4:5">
      <c r="D229" s="589" t="s">
        <v>720</v>
      </c>
      <c r="E229" s="352" t="s">
        <v>400</v>
      </c>
    </row>
    <row r="230" spans="4:5">
      <c r="D230" s="589" t="s">
        <v>551</v>
      </c>
      <c r="E230" s="352" t="s">
        <v>1260</v>
      </c>
    </row>
    <row r="231" spans="4:5">
      <c r="D231" s="589" t="s">
        <v>721</v>
      </c>
      <c r="E231" s="352" t="s">
        <v>395</v>
      </c>
    </row>
    <row r="232" spans="4:5">
      <c r="D232" s="589" t="s">
        <v>722</v>
      </c>
      <c r="E232" s="352" t="s">
        <v>370</v>
      </c>
    </row>
    <row r="233" spans="4:5">
      <c r="D233" s="589" t="s">
        <v>723</v>
      </c>
      <c r="E233" s="352" t="s">
        <v>1264</v>
      </c>
    </row>
    <row r="234" spans="4:5">
      <c r="D234" s="589" t="s">
        <v>724</v>
      </c>
      <c r="E234" s="352" t="s">
        <v>420</v>
      </c>
    </row>
    <row r="235" spans="4:5">
      <c r="D235" s="589" t="s">
        <v>725</v>
      </c>
      <c r="E235" s="352" t="s">
        <v>1294</v>
      </c>
    </row>
    <row r="236" spans="4:5">
      <c r="D236" s="589" t="s">
        <v>246</v>
      </c>
      <c r="E236" s="352" t="s">
        <v>424</v>
      </c>
    </row>
    <row r="237" spans="4:5">
      <c r="D237" s="589" t="s">
        <v>1078</v>
      </c>
      <c r="E237" s="352" t="s">
        <v>1295</v>
      </c>
    </row>
    <row r="238" spans="4:5">
      <c r="D238" s="589" t="s">
        <v>726</v>
      </c>
      <c r="E238" s="352" t="s">
        <v>357</v>
      </c>
    </row>
    <row r="239" spans="4:5">
      <c r="D239" s="589" t="s">
        <v>727</v>
      </c>
      <c r="E239" s="352" t="s">
        <v>430</v>
      </c>
    </row>
    <row r="240" spans="4:5">
      <c r="D240" s="589" t="s">
        <v>825</v>
      </c>
      <c r="E240" s="352" t="s">
        <v>320</v>
      </c>
    </row>
    <row r="241" spans="4:5">
      <c r="D241" s="589" t="s">
        <v>728</v>
      </c>
      <c r="E241" s="352" t="s">
        <v>332</v>
      </c>
    </row>
    <row r="242" spans="4:5">
      <c r="D242" s="589" t="s">
        <v>730</v>
      </c>
      <c r="E242" s="352" t="s">
        <v>305</v>
      </c>
    </row>
    <row r="243" spans="4:5">
      <c r="D243" s="589" t="s">
        <v>731</v>
      </c>
      <c r="E243" s="352" t="s">
        <v>394</v>
      </c>
    </row>
    <row r="244" spans="4:5">
      <c r="D244" s="589" t="s">
        <v>729</v>
      </c>
      <c r="E244" s="352" t="s">
        <v>1083</v>
      </c>
    </row>
    <row r="245" spans="4:5">
      <c r="D245" s="589" t="s">
        <v>732</v>
      </c>
      <c r="E245" s="352" t="s">
        <v>1254</v>
      </c>
    </row>
    <row r="246" spans="4:5">
      <c r="D246" s="589" t="s">
        <v>733</v>
      </c>
      <c r="E246" s="352" t="s">
        <v>1247</v>
      </c>
    </row>
    <row r="247" spans="4:5">
      <c r="D247" s="589" t="s">
        <v>734</v>
      </c>
      <c r="E247" s="352" t="s">
        <v>1231</v>
      </c>
    </row>
    <row r="248" spans="4:5">
      <c r="D248" s="589" t="s">
        <v>735</v>
      </c>
      <c r="E248" s="352" t="s">
        <v>451</v>
      </c>
    </row>
    <row r="249" spans="4:5">
      <c r="D249" s="589" t="s">
        <v>736</v>
      </c>
      <c r="E249" s="352" t="s">
        <v>345</v>
      </c>
    </row>
    <row r="250" spans="4:5">
      <c r="D250" s="589" t="s">
        <v>737</v>
      </c>
      <c r="E250" s="352" t="s">
        <v>1237</v>
      </c>
    </row>
    <row r="251" spans="4:5">
      <c r="D251" s="589" t="s">
        <v>738</v>
      </c>
      <c r="E251" s="352" t="s">
        <v>487</v>
      </c>
    </row>
    <row r="252" spans="4:5">
      <c r="D252" s="582" t="s">
        <v>247</v>
      </c>
      <c r="E252" s="352" t="s">
        <v>368</v>
      </c>
    </row>
    <row r="253" spans="4:5">
      <c r="D253" s="589" t="s">
        <v>739</v>
      </c>
      <c r="E253" s="352" t="s">
        <v>386</v>
      </c>
    </row>
    <row r="254" spans="4:5">
      <c r="D254" s="589" t="s">
        <v>740</v>
      </c>
      <c r="E254" s="352" t="s">
        <v>351</v>
      </c>
    </row>
    <row r="255" spans="4:5">
      <c r="D255" s="589" t="s">
        <v>11164</v>
      </c>
      <c r="E255" s="352" t="s">
        <v>11165</v>
      </c>
    </row>
    <row r="256" spans="4:5">
      <c r="D256" s="589" t="s">
        <v>741</v>
      </c>
      <c r="E256" s="352" t="s">
        <v>316</v>
      </c>
    </row>
    <row r="257" spans="4:5">
      <c r="D257" s="589" t="s">
        <v>742</v>
      </c>
      <c r="E257" s="352" t="s">
        <v>506</v>
      </c>
    </row>
    <row r="258" spans="4:5">
      <c r="D258" s="589" t="s">
        <v>743</v>
      </c>
      <c r="E258" s="352" t="s">
        <v>272</v>
      </c>
    </row>
    <row r="259" spans="4:5">
      <c r="D259" s="589" t="s">
        <v>744</v>
      </c>
      <c r="E259" s="352" t="s">
        <v>447</v>
      </c>
    </row>
    <row r="260" spans="4:5">
      <c r="D260" s="589" t="s">
        <v>745</v>
      </c>
      <c r="E260" s="352" t="s">
        <v>333</v>
      </c>
    </row>
    <row r="261" spans="4:5">
      <c r="D261" s="589" t="s">
        <v>746</v>
      </c>
      <c r="E261" s="352" t="s">
        <v>366</v>
      </c>
    </row>
    <row r="262" spans="4:5">
      <c r="D262" s="580" t="s">
        <v>8179</v>
      </c>
      <c r="E262" s="352" t="s">
        <v>11166</v>
      </c>
    </row>
    <row r="263" spans="4:5">
      <c r="D263" s="589" t="s">
        <v>747</v>
      </c>
      <c r="E263" s="352" t="s">
        <v>1255</v>
      </c>
    </row>
    <row r="264" spans="4:5">
      <c r="D264" s="589" t="s">
        <v>748</v>
      </c>
      <c r="E264" s="352" t="s">
        <v>1252</v>
      </c>
    </row>
    <row r="265" spans="4:5">
      <c r="D265" s="581" t="s">
        <v>11221</v>
      </c>
      <c r="E265" s="383" t="s">
        <v>11214</v>
      </c>
    </row>
    <row r="266" spans="4:5">
      <c r="D266" s="589" t="s">
        <v>749</v>
      </c>
      <c r="E266" s="352" t="s">
        <v>488</v>
      </c>
    </row>
    <row r="267" spans="4:5">
      <c r="D267" s="589" t="s">
        <v>750</v>
      </c>
      <c r="E267" s="352" t="s">
        <v>371</v>
      </c>
    </row>
    <row r="268" spans="4:5">
      <c r="D268" s="589" t="s">
        <v>751</v>
      </c>
      <c r="E268" s="352" t="s">
        <v>402</v>
      </c>
    </row>
    <row r="269" spans="4:5">
      <c r="D269" s="589" t="s">
        <v>621</v>
      </c>
      <c r="E269" s="352" t="s">
        <v>289</v>
      </c>
    </row>
    <row r="270" spans="4:5">
      <c r="D270" s="582" t="s">
        <v>248</v>
      </c>
      <c r="E270" s="352" t="s">
        <v>435</v>
      </c>
    </row>
    <row r="271" spans="4:5">
      <c r="D271" s="582" t="s">
        <v>249</v>
      </c>
      <c r="E271" s="352" t="s">
        <v>439</v>
      </c>
    </row>
    <row r="272" spans="4:5">
      <c r="D272" s="582" t="s">
        <v>250</v>
      </c>
      <c r="E272" s="352" t="s">
        <v>273</v>
      </c>
    </row>
    <row r="273" spans="4:5">
      <c r="D273" s="582" t="s">
        <v>251</v>
      </c>
      <c r="E273" s="352" t="s">
        <v>322</v>
      </c>
    </row>
    <row r="274" spans="4:5">
      <c r="D274" s="582" t="s">
        <v>252</v>
      </c>
      <c r="E274" s="352" t="s">
        <v>325</v>
      </c>
    </row>
    <row r="275" spans="4:5">
      <c r="D275" s="582" t="s">
        <v>253</v>
      </c>
      <c r="E275" s="352" t="s">
        <v>403</v>
      </c>
    </row>
    <row r="276" spans="4:5">
      <c r="D276" s="589" t="s">
        <v>752</v>
      </c>
      <c r="E276" s="352" t="s">
        <v>1276</v>
      </c>
    </row>
    <row r="277" spans="4:5">
      <c r="D277" s="589" t="s">
        <v>1073</v>
      </c>
      <c r="E277" s="352" t="s">
        <v>1261</v>
      </c>
    </row>
    <row r="278" spans="4:5">
      <c r="D278" s="589" t="s">
        <v>824</v>
      </c>
      <c r="E278" s="352" t="s">
        <v>1282</v>
      </c>
    </row>
    <row r="279" spans="4:5">
      <c r="D279" s="580" t="s">
        <v>11169</v>
      </c>
      <c r="E279" s="352" t="s">
        <v>11170</v>
      </c>
    </row>
    <row r="280" spans="4:5">
      <c r="D280" s="589" t="s">
        <v>8303</v>
      </c>
      <c r="E280" s="352" t="s">
        <v>11218</v>
      </c>
    </row>
    <row r="281" spans="4:5">
      <c r="D281" s="589" t="s">
        <v>876</v>
      </c>
      <c r="E281" s="352" t="s">
        <v>452</v>
      </c>
    </row>
    <row r="282" spans="4:5">
      <c r="D282" s="589" t="s">
        <v>754</v>
      </c>
      <c r="E282" s="352" t="s">
        <v>538</v>
      </c>
    </row>
    <row r="283" spans="4:5">
      <c r="D283" s="589" t="s">
        <v>755</v>
      </c>
      <c r="E283" s="352" t="s">
        <v>433</v>
      </c>
    </row>
    <row r="284" spans="4:5">
      <c r="D284" s="589" t="s">
        <v>757</v>
      </c>
      <c r="E284" s="352" t="s">
        <v>340</v>
      </c>
    </row>
    <row r="285" spans="4:5">
      <c r="D285" s="582" t="s">
        <v>256</v>
      </c>
      <c r="E285" s="352" t="s">
        <v>314</v>
      </c>
    </row>
    <row r="286" spans="4:5">
      <c r="D286" s="582" t="s">
        <v>257</v>
      </c>
      <c r="E286" s="352" t="s">
        <v>427</v>
      </c>
    </row>
    <row r="287" spans="4:5">
      <c r="D287" s="582" t="s">
        <v>258</v>
      </c>
      <c r="E287" s="352" t="s">
        <v>1243</v>
      </c>
    </row>
    <row r="288" spans="4:5">
      <c r="D288" s="589" t="s">
        <v>758</v>
      </c>
      <c r="E288" s="352" t="s">
        <v>318</v>
      </c>
    </row>
    <row r="289" spans="4:5">
      <c r="D289" s="589" t="s">
        <v>759</v>
      </c>
      <c r="E289" s="352" t="s">
        <v>274</v>
      </c>
    </row>
    <row r="290" spans="4:5">
      <c r="D290" s="579" t="s">
        <v>515</v>
      </c>
      <c r="E290" s="352" t="s">
        <v>317</v>
      </c>
    </row>
    <row r="291" spans="4:5">
      <c r="D291" s="589" t="s">
        <v>528</v>
      </c>
      <c r="E291" s="352" t="s">
        <v>501</v>
      </c>
    </row>
    <row r="292" spans="4:5">
      <c r="D292" s="580" t="s">
        <v>808</v>
      </c>
      <c r="E292" s="352" t="s">
        <v>474</v>
      </c>
    </row>
    <row r="293" spans="4:5">
      <c r="D293" s="580" t="s">
        <v>809</v>
      </c>
      <c r="E293" s="352" t="s">
        <v>432</v>
      </c>
    </row>
    <row r="294" spans="4:5">
      <c r="D294" s="589" t="s">
        <v>532</v>
      </c>
      <c r="E294" s="352" t="s">
        <v>1307</v>
      </c>
    </row>
    <row r="295" spans="4:5">
      <c r="D295" s="589" t="s">
        <v>534</v>
      </c>
      <c r="E295" s="352" t="s">
        <v>1271</v>
      </c>
    </row>
    <row r="296" spans="4:5">
      <c r="D296" s="589" t="s">
        <v>531</v>
      </c>
      <c r="E296" s="352" t="s">
        <v>379</v>
      </c>
    </row>
    <row r="297" spans="4:5">
      <c r="D297" s="580" t="s">
        <v>810</v>
      </c>
      <c r="E297" s="352" t="s">
        <v>296</v>
      </c>
    </row>
    <row r="298" spans="4:5">
      <c r="D298" s="580" t="s">
        <v>807</v>
      </c>
      <c r="E298" s="352" t="s">
        <v>428</v>
      </c>
    </row>
    <row r="299" spans="4:5">
      <c r="D299" s="580" t="s">
        <v>811</v>
      </c>
      <c r="E299" s="352" t="s">
        <v>359</v>
      </c>
    </row>
    <row r="300" spans="4:5">
      <c r="D300" s="580" t="s">
        <v>812</v>
      </c>
      <c r="E300" s="352" t="s">
        <v>490</v>
      </c>
    </row>
    <row r="301" spans="4:5">
      <c r="D301" s="580" t="s">
        <v>813</v>
      </c>
      <c r="E301" s="352" t="s">
        <v>324</v>
      </c>
    </row>
    <row r="302" spans="4:5">
      <c r="D302" s="589" t="s">
        <v>535</v>
      </c>
      <c r="E302" s="352" t="s">
        <v>444</v>
      </c>
    </row>
    <row r="303" spans="4:5">
      <c r="D303" s="580" t="s">
        <v>599</v>
      </c>
      <c r="E303" s="352" t="s">
        <v>467</v>
      </c>
    </row>
    <row r="304" spans="4:5">
      <c r="D304" s="580" t="s">
        <v>600</v>
      </c>
      <c r="E304" s="352" t="s">
        <v>509</v>
      </c>
    </row>
    <row r="305" spans="4:5">
      <c r="D305" s="579" t="s">
        <v>519</v>
      </c>
      <c r="E305" s="352" t="s">
        <v>434</v>
      </c>
    </row>
    <row r="306" spans="4:5">
      <c r="D306" s="580" t="s">
        <v>814</v>
      </c>
      <c r="E306" s="352" t="s">
        <v>471</v>
      </c>
    </row>
    <row r="307" spans="4:5">
      <c r="D307" s="589" t="s">
        <v>760</v>
      </c>
      <c r="E307" s="352" t="s">
        <v>497</v>
      </c>
    </row>
    <row r="308" spans="4:5">
      <c r="D308" s="589" t="s">
        <v>761</v>
      </c>
      <c r="E308" s="352" t="s">
        <v>1245</v>
      </c>
    </row>
    <row r="309" spans="4:5">
      <c r="D309" s="589" t="s">
        <v>762</v>
      </c>
      <c r="E309" s="352" t="s">
        <v>295</v>
      </c>
    </row>
    <row r="310" spans="4:5">
      <c r="D310" s="589" t="s">
        <v>763</v>
      </c>
      <c r="E310" s="352" t="s">
        <v>1263</v>
      </c>
    </row>
    <row r="311" spans="4:5">
      <c r="D311" s="589" t="s">
        <v>764</v>
      </c>
      <c r="E311" s="352" t="s">
        <v>334</v>
      </c>
    </row>
    <row r="312" spans="4:5">
      <c r="D312" s="589" t="s">
        <v>765</v>
      </c>
      <c r="E312" s="352" t="s">
        <v>421</v>
      </c>
    </row>
    <row r="313" spans="4:5">
      <c r="D313" s="589" t="s">
        <v>766</v>
      </c>
      <c r="E313" s="352" t="s">
        <v>1305</v>
      </c>
    </row>
    <row r="314" spans="4:5">
      <c r="D314" s="589" t="s">
        <v>767</v>
      </c>
      <c r="E314" s="352" t="s">
        <v>468</v>
      </c>
    </row>
    <row r="315" spans="4:5">
      <c r="D315" s="589" t="s">
        <v>768</v>
      </c>
      <c r="E315" s="352" t="s">
        <v>321</v>
      </c>
    </row>
    <row r="316" spans="4:5">
      <c r="D316" s="589" t="s">
        <v>769</v>
      </c>
      <c r="E316" s="352" t="s">
        <v>1306</v>
      </c>
    </row>
    <row r="317" spans="4:5">
      <c r="D317" s="589" t="s">
        <v>770</v>
      </c>
      <c r="E317" s="352" t="s">
        <v>1279</v>
      </c>
    </row>
    <row r="318" spans="4:5">
      <c r="D318" s="589" t="s">
        <v>771</v>
      </c>
      <c r="E318" s="352" t="s">
        <v>367</v>
      </c>
    </row>
    <row r="319" spans="4:5">
      <c r="D319" s="589" t="s">
        <v>1292</v>
      </c>
      <c r="E319" s="352" t="s">
        <v>306</v>
      </c>
    </row>
    <row r="320" spans="4:5">
      <c r="D320" s="589" t="s">
        <v>772</v>
      </c>
      <c r="E320" s="352" t="s">
        <v>302</v>
      </c>
    </row>
    <row r="321" spans="4:5">
      <c r="D321" s="589" t="s">
        <v>773</v>
      </c>
      <c r="E321" s="352" t="s">
        <v>360</v>
      </c>
    </row>
    <row r="322" spans="4:5">
      <c r="D322" s="589" t="s">
        <v>774</v>
      </c>
      <c r="E322" s="352" t="s">
        <v>275</v>
      </c>
    </row>
    <row r="323" spans="4:5">
      <c r="D323" s="589" t="s">
        <v>775</v>
      </c>
      <c r="E323" s="352" t="s">
        <v>878</v>
      </c>
    </row>
    <row r="324" spans="4:5">
      <c r="D324" s="589" t="s">
        <v>776</v>
      </c>
      <c r="E324" s="352" t="s">
        <v>376</v>
      </c>
    </row>
    <row r="325" spans="4:5">
      <c r="D325" s="589" t="s">
        <v>777</v>
      </c>
      <c r="E325" s="352" t="s">
        <v>499</v>
      </c>
    </row>
    <row r="326" spans="4:5">
      <c r="D326" s="589" t="s">
        <v>9133</v>
      </c>
      <c r="E326" s="352" t="s">
        <v>11236</v>
      </c>
    </row>
    <row r="327" spans="4:5">
      <c r="D327" s="589" t="s">
        <v>778</v>
      </c>
      <c r="E327" s="352" t="s">
        <v>406</v>
      </c>
    </row>
    <row r="328" spans="4:5">
      <c r="D328" s="582" t="s">
        <v>260</v>
      </c>
      <c r="E328" s="352" t="s">
        <v>331</v>
      </c>
    </row>
    <row r="329" spans="4:5">
      <c r="D329" s="589" t="s">
        <v>779</v>
      </c>
      <c r="E329" s="352" t="s">
        <v>473</v>
      </c>
    </row>
    <row r="330" spans="4:5">
      <c r="D330" s="589" t="s">
        <v>780</v>
      </c>
      <c r="E330" s="352" t="s">
        <v>1251</v>
      </c>
    </row>
    <row r="331" spans="4:5">
      <c r="D331" s="589" t="s">
        <v>781</v>
      </c>
      <c r="E331" s="352" t="s">
        <v>529</v>
      </c>
    </row>
  </sheetData>
  <sheetProtection password="9A0B" sheet="1" objects="1" scenarios="1"/>
  <mergeCells count="3">
    <mergeCell ref="A4:B4"/>
    <mergeCell ref="D4:E4"/>
    <mergeCell ref="G4:H4"/>
  </mergeCells>
  <phoneticPr fontId="27" type="noConversion"/>
  <hyperlinks>
    <hyperlink ref="A88" r:id="rId1" tooltip="Link to Plant Profile" display="http://plants.usda.gov/java/profile?symbol=ELPA3"/>
    <hyperlink ref="A89" r:id="rId2" tooltip="Link to Plant Profile" display="http://plants.usda.gov/java/profile?symbol=ELCA4"/>
    <hyperlink ref="A98" r:id="rId3" tooltip="Link to Plant Profile" display="http://plants.usda.gov/java/profile?symbol=GLGR"/>
    <hyperlink ref="A100" r:id="rId4" tooltip="Link to Plant Profile" display="http://plants.usda.gov/java/profile?symbol=GLST"/>
    <hyperlink ref="A104" r:id="rId5" tooltip="Link to Plant Profile" display="http://plants.usda.gov/java/profile?symbol=HOJU"/>
    <hyperlink ref="A90" r:id="rId6" tooltip="Link to Plant Profile" display="http://plants.usda.gov/java/profile?symbol=ELHY"/>
    <hyperlink ref="A105" r:id="rId7" tooltip="Link to Plant Profile" display="http://plants.usda.gov/java/profile?symbol=JUARL"/>
    <hyperlink ref="A107" r:id="rId8" tooltip="Link to Plant Profile" display="http://plants.usda.gov/java/profile?symbol=JUDU2"/>
    <hyperlink ref="A108" r:id="rId9" tooltip="Link to Plant Profile" display="http://plants.usda.gov/java/profile?symbol=JUEF"/>
    <hyperlink ref="A124" r:id="rId10" tooltip="Link to Plant Profile" display="http://plants.usda.gov/java/profile?symbol=POPA2"/>
    <hyperlink ref="A128" r:id="rId11" tooltip="Link to Plant Profile" display="http://plants.usda.gov/java/profile?symbol=SCPU10"/>
    <hyperlink ref="A141" r:id="rId12" tooltip="Link to Plant Profile" display="http://plants.usda.gov/java/profile?symbol=TRDA3"/>
    <hyperlink ref="A79" r:id="rId13" tooltip="Link to Plant Profile" display="http://plants.usda.gov/java/profile?symbol=CYLU2"/>
    <hyperlink ref="A77" r:id="rId14" tooltip="Link to Plant Profile" display="http://plants.usda.gov/java/profile?symbol=CAVU2"/>
    <hyperlink ref="A76" r:id="rId15" tooltip="Link to Plant Profile" display="http://plants.usda.gov/java/profile?symbol=CAVE6"/>
    <hyperlink ref="A71" r:id="rId16" tooltip="Link to Plant Profile" display="http://plants.usda.gov/java/profile?symbol=CATR7"/>
    <hyperlink ref="A66" r:id="rId17" tooltip="Link to Plant Profile" display="http://plants.usda.gov/java/profile?symbol=CAST16"/>
    <hyperlink ref="A61" r:id="rId18" tooltip="Link to Plant Profile" display="http://plants.usda.gov/java/profile?symbol=CASC11"/>
    <hyperlink ref="A41" r:id="rId19" tooltip="Link to Plant Profile" display="http://plants.usda.gov/java/profile?symbol=CAHY4"/>
    <hyperlink ref="A40" r:id="rId20" tooltip="Link to Plant Profile" display="http://plants.usda.gov/java/profile?symbol=CAHI6"/>
    <hyperlink ref="A37" r:id="rId21" tooltip="Link to Plant Profile" display="http://plants.usda.gov/java/profile?symbol=CAGR5"/>
    <hyperlink ref="A32" r:id="rId22" tooltip="Link to Plant Profile" display="http://plants.usda.gov/java/profile?symbol=CAFR3"/>
    <hyperlink ref="A28" r:id="rId23" tooltip="Link to Plant Profile" display="http://plants.usda.gov/java/profile?symbol=CACR7"/>
    <hyperlink ref="A27" r:id="rId24" tooltip="Link to Plant Profile" display="http://plants.usda.gov/java/profile?symbol=CACR6"/>
    <hyperlink ref="A20" r:id="rId25" tooltip="Link to Plant Profile" display="http://plants.usda.gov/java/profile?symbol=CABI3"/>
    <hyperlink ref="A19" r:id="rId26" tooltip="Link to Plant Profile" display="http://plants.usda.gov/java/profile?symbol=CABE2"/>
    <hyperlink ref="A14" r:id="rId27" tooltip="Link to Plant Profile" display="http://plants.usda.gov/java/profile?symbol=CACA4"/>
    <hyperlink ref="A12" r:id="rId28" tooltip="Link to Plant Profile" display="http://plants.usda.gov/java/profile?symbol=BRKA2"/>
    <hyperlink ref="A11" r:id="rId29" tooltip="Link to Plant Profile" display="http://plants.usda.gov/java/profile?symbol=BRCI2"/>
    <hyperlink ref="A9" r:id="rId30" tooltip="Link to Plant Profile" display="http://plants.usda.gov/java/profile?symbol=BOGR2"/>
    <hyperlink ref="A6" r:id="rId31" tooltip="Link to Plant Profile" display="http://plants.usda.gov/java/profile?symbol=ANGE"/>
    <hyperlink ref="A7" r:id="rId32" display="http://plants.usda.gov/java/profile?symbol=BESY"/>
    <hyperlink ref="A34" r:id="rId33" display="http://plants.usda.gov/java/profile?symbol=CAGR2"/>
    <hyperlink ref="A63" r:id="rId34" display="http://plants.usda.gov/java/profile?symbol=CASP3"/>
    <hyperlink ref="A74" r:id="rId35" display="http://plants.usda.gov/java/profile?symbol=CATY"/>
    <hyperlink ref="A82" r:id="rId36" display="http://plants.usda.gov/java/profile?symbol=DIAM"/>
    <hyperlink ref="A87" r:id="rId37" display="http://plants.usda.gov/java/profile?symbol=ELOB2"/>
    <hyperlink ref="A106" r:id="rId38" display="http://plants.usda.gov/java/profile?symbol=JUCA3"/>
    <hyperlink ref="A85" r:id="rId39" tooltip="Link to Plant Profile" display="http://plants.usda.gov/java/profile?symbol=ELPA3"/>
    <hyperlink ref="A91" r:id="rId40" tooltip="Link to Plant Profile" display="http://plants.usda.gov/java/profile?symbol=GLST"/>
    <hyperlink ref="A93" r:id="rId41" tooltip="Link to Plant Profile" display="http://plants.usda.gov/java/profile?symbol=HOJU"/>
    <hyperlink ref="A94" r:id="rId42" tooltip="Link to Plant Profile" display="http://plants.usda.gov/java/profile?symbol=ELHY"/>
    <hyperlink ref="A95" r:id="rId43" tooltip="Link to Plant Profile" display="http://plants.usda.gov/java/profile?symbol=JUARL"/>
    <hyperlink ref="A109" r:id="rId44" tooltip="Link to Plant Profile" display="http://plants.usda.gov/java/profile?symbol=CAVE6"/>
    <hyperlink ref="A111" r:id="rId45" tooltip="Link to Plant Profile" display="http://plants.usda.gov/java/profile?symbol=CATR7"/>
    <hyperlink ref="A112" r:id="rId46" tooltip="Link to Plant Profile" display="http://plants.usda.gov/java/profile?symbol=CAST16"/>
    <hyperlink ref="A113" r:id="rId47" tooltip="Link to Plant Profile" display="http://plants.usda.gov/java/profile?symbol=CASC11"/>
    <hyperlink ref="A115" r:id="rId48" tooltip="Link to Plant Profile" display="http://plants.usda.gov/java/profile?symbol=CAHY4"/>
    <hyperlink ref="A116" r:id="rId49" tooltip="Link to Plant Profile" display="http://plants.usda.gov/java/profile?symbol=CAHI6"/>
    <hyperlink ref="A117" r:id="rId50" tooltip="Link to Plant Profile" display="http://plants.usda.gov/java/profile?symbol=CAGR5"/>
    <hyperlink ref="A118" r:id="rId51" tooltip="Link to Plant Profile" display="http://plants.usda.gov/java/profile?symbol=CAFR3"/>
    <hyperlink ref="A119" r:id="rId52" tooltip="Link to Plant Profile" display="http://plants.usda.gov/java/profile?symbol=CACR7"/>
    <hyperlink ref="A121" r:id="rId53" tooltip="Link to Plant Profile" display="http://plants.usda.gov/java/profile?symbol=CACR6"/>
    <hyperlink ref="A126" r:id="rId54" tooltip="Link to Plant Profile" display="http://plants.usda.gov/java/profile?symbol=CABE2"/>
    <hyperlink ref="A130" r:id="rId55" tooltip="Link to Plant Profile" display="http://plants.usda.gov/java/profile?symbol=CACA4"/>
    <hyperlink ref="A131" r:id="rId56" tooltip="Link to Plant Profile" display="http://plants.usda.gov/java/profile?symbol=BRKA2"/>
    <hyperlink ref="A127" r:id="rId57" tooltip="Link to Plant Profile" display="http://plants.usda.gov/java/profile?symbol=BRCI2"/>
    <hyperlink ref="A135" r:id="rId58" tooltip="Link to Plant Profile" display="http://plants.usda.gov/java/profile?symbol=BOGR2"/>
    <hyperlink ref="A136" r:id="rId59" tooltip="Link to Plant Profile" display="http://plants.usda.gov/java/profile?symbol=ANGE"/>
    <hyperlink ref="A138" r:id="rId60" display="http://plants.usda.gov/java/profile?symbol=BESY"/>
    <hyperlink ref="A139" r:id="rId61" display="http://plants.usda.gov/java/profile?symbol=CAGR2"/>
    <hyperlink ref="A102" r:id="rId62" display="http://plants.usda.gov/java/profile?symbol=CASP3"/>
    <hyperlink ref="A120" r:id="rId63" display="http://plants.usda.gov/java/profile?symbol=CATY"/>
    <hyperlink ref="A140" r:id="rId64" display="http://plants.usda.gov/java/profile?symbol=DIAM"/>
    <hyperlink ref="A78" r:id="rId65" display="http://plants.usda.gov/java/profile?symbol=JUCA3"/>
    <hyperlink ref="D6" r:id="rId66" tooltip="Link to Plant Profile" display="http://plants.usda.gov/java/profile?symbol=ACMIO"/>
    <hyperlink ref="D7" r:id="rId67" tooltip="Link to Plant Profile" display="http://plants.usda.gov/java/profile?symbol=ACCA4"/>
    <hyperlink ref="D8" r:id="rId68" tooltip="Link to Plant Profile" display="http://plants.usda.gov/java/profile?symbol=ACPA"/>
    <hyperlink ref="D9" r:id="rId69" tooltip="Link to Plant Profile" display="http://plants.usda.gov/java/profile?symbol=ACRU2"/>
    <hyperlink ref="D10" r:id="rId70" tooltip="Link to Plant Profile" display="http://plants.usda.gov/java/profile?symbol=AGTE3"/>
    <hyperlink ref="D11" r:id="rId71" tooltip="Link to Plant Profile" display="http://plants.usda.gov/java/profile?symbol=AGFO"/>
    <hyperlink ref="D12" r:id="rId72" tooltip="Link to Plant Profile" display="http://plants.usda.gov/java/profile?symbol=AGNE2"/>
    <hyperlink ref="D13" r:id="rId73" tooltip="Link to Plant Profile" display="http://plants.usda.gov/java/profile?symbol=AGSC"/>
    <hyperlink ref="D14" r:id="rId74" tooltip="Link to Plant Profile" display="http://plants.usda.gov/java/profile?symbol=AGAL5"/>
    <hyperlink ref="D17" r:id="rId75" tooltip="Link to Plant Profile" display="http://plants.usda.gov/java/profile?symbol=ALCA3"/>
    <hyperlink ref="D18" r:id="rId76" tooltip="Link to Plant Profile" display="http://plants.usda.gov/java/profile?symbol=ALST"/>
    <hyperlink ref="D19" r:id="rId77" tooltip="Link to Plant Profile" display="http://plants.usda.gov/java/profile?symbol=ALTR3"/>
    <hyperlink ref="D20" r:id="rId78" tooltip="Link to Plant Profile" display="http://plants.usda.gov/java/profile?symbol=ANCA8"/>
    <hyperlink ref="D21" r:id="rId79" tooltip="Link to Plant Profile" display="http://plants.usda.gov/java/profile?symbol=ANCY"/>
    <hyperlink ref="D22" r:id="rId80" tooltip="Link to Plant Profile" display="http://plants.usda.gov/java/profile?symbol=ANVI3"/>
    <hyperlink ref="D23" r:id="rId81" tooltip="Link to Plant Profile" display="http://plants.usda.gov/java/profile?symbol=ANAT"/>
    <hyperlink ref="D24" r:id="rId82" tooltip="Link to Plant Profile" display="http://plants.usda.gov/java/profile?symbol=ANPL"/>
    <hyperlink ref="D26" r:id="rId83" tooltip="Link to Plant Profile" display="http://plants.usda.gov/java/profile?symbol=AQCA"/>
    <hyperlink ref="D27" r:id="rId84" tooltip="Link to Plant Profile" display="http://plants.usda.gov/java/profile?symbol=ARGL"/>
    <hyperlink ref="D28" r:id="rId85" tooltip="Link to Plant Profile" display="http://plants.usda.gov/java/profile?symbol=ARHI"/>
    <hyperlink ref="D31" r:id="rId86" tooltip="Link to Plant Profile" display="http://plants.usda.gov/java/profile?symbol=ARTR"/>
    <hyperlink ref="D32" r:id="rId87" tooltip="Link to Plant Profile" display="http://plants.usda.gov/java/profile?symbol=ARAT"/>
    <hyperlink ref="D35" r:id="rId88" tooltip="Link to Plant Profile" display="http://plants.usda.gov/java/profile?symbol=ARCA12"/>
    <hyperlink ref="D36" r:id="rId89" tooltip="Link to Plant Profile" display="http://plants.usda.gov/java/profile?symbol=ARLU"/>
    <hyperlink ref="D37" r:id="rId90" tooltip="Link to Plant Profile" display="http://plants.usda.gov/java/profile?symbol=ASCA"/>
    <hyperlink ref="D39" r:id="rId91" tooltip="Link to Plant Profile" display="http://plants.usda.gov/java/profile?symbol=ASEX"/>
    <hyperlink ref="D40" r:id="rId92" tooltip="Link to Plant Profile" display="http://plants.usda.gov/java/profile?symbol=ASHI"/>
    <hyperlink ref="D41" r:id="rId93" tooltip="Link to Plant Profile" display="http://plants.usda.gov/java/profile?symbol=ASIN"/>
    <hyperlink ref="D42" r:id="rId94" tooltip="Link to Plant Profile" display="http://plants.usda.gov/java/profile?symbol=ASPU2"/>
    <hyperlink ref="D43" r:id="rId95" tooltip="Link to Plant Profile" display="http://plants.usda.gov/java/profile?symbol=ASSU3"/>
    <hyperlink ref="D44" r:id="rId96" tooltip="Link to Plant Profile" display="http://plants.usda.gov/java/profile?symbol=ASTU"/>
    <hyperlink ref="D45" r:id="rId97" tooltip="Link to Plant Profile" display="http://plants.usda.gov/java/profile?symbol=ASVE"/>
    <hyperlink ref="D298" r:id="rId98" tooltip="Link to Plant Profile" display="http://plants.usda.gov/java/profile?symbol=SYOO"/>
    <hyperlink ref="D292" r:id="rId99" tooltip="Link to Plant Profile" display="http://plants.usda.gov/java/profile?symbol=SYER"/>
    <hyperlink ref="D293" r:id="rId100" tooltip="Link to Plant Profile" display="http://plants.usda.gov/java/profile?symbol=SYLA3"/>
    <hyperlink ref="D297" r:id="rId101" tooltip="Link to Plant Profile" display="http://plants.usda.gov/java/profile?symbol=SYOB"/>
    <hyperlink ref="D299" r:id="rId102" tooltip="Link to Plant Profile" display="http://plants.usda.gov/java/profile?symbol=SYPI2"/>
    <hyperlink ref="D300" r:id="rId103" tooltip="Link to Plant Profile" display="http://plants.usda.gov/java/profile?symbol=SYPR5"/>
    <hyperlink ref="D301" r:id="rId104" tooltip="Link to Plant Profile" display="http://plants.usda.gov/java/profile?symbol=SYPR6"/>
    <hyperlink ref="D306" r:id="rId105" tooltip="Link to Plant Profile" display="http://plants.usda.gov/java/profile?symbol=SYUR"/>
    <hyperlink ref="D303" r:id="rId106" tooltip="Link to Plant Profile" display="http://plants.usda.gov/java/profile?symbol=SYSE2"/>
    <hyperlink ref="D304" r:id="rId107" tooltip="Link to Plant Profile" display="http://plants.usda.gov/java/profile?symbol=SYSH"/>
    <hyperlink ref="D47" r:id="rId108" tooltip="Link to Plant Profile" display="http://plants.usda.gov/java/profile?symbol=ASCA11"/>
    <hyperlink ref="D48" r:id="rId109" tooltip="Link to Plant Profile" display="http://plants.usda.gov/java/profile?symbol=ASCR2"/>
    <hyperlink ref="D50" r:id="rId110" tooltip="Link to Plant Profile" display="http://plants.usda.gov/java/profile?symbol=BAAU"/>
    <hyperlink ref="D49" r:id="rId111" tooltip="Link to Plant Profile" display="http://plants.usda.gov/java/profile?symbol=BAAL"/>
    <hyperlink ref="D52" r:id="rId112" tooltip="Link to Plant Profile" display="http://plants.usda.gov/java/profile?symbol=BATI"/>
    <hyperlink ref="D53" r:id="rId113" tooltip="Link to Plant Profile" display="http://plants.usda.gov/java/profile?symbol=BIAR"/>
    <hyperlink ref="D54" r:id="rId114" tooltip="Link to Plant Profile" display="http://plants.usda.gov/java/profile?symbol=BICE"/>
    <hyperlink ref="D55" r:id="rId115" tooltip="Link to Plant Profile" display="http://plants.usda.gov/java/profile?symbol=BICO5"/>
    <hyperlink ref="D56" r:id="rId116" tooltip="Link to Plant Profile" display="http://plants.usda.gov/java/profile?symbol=BIFR"/>
    <hyperlink ref="D58" r:id="rId117" tooltip="Link to Plant Profile" display="http://plants.usda.gov/java/profile?symbol=BLHI"/>
    <hyperlink ref="D59" r:id="rId118" tooltip="Link to Plant Profile" display="http://plants.usda.gov/java/profile?symbol=BOAS"/>
    <hyperlink ref="D60" r:id="rId119" tooltip="Link to Plant Profile" display="http://plants.usda.gov/java/profile?symbol=BREU"/>
    <hyperlink ref="D33" r:id="rId120" tooltip="Link to Plant Profile" display="http://plants.usda.gov/java/profile?symbol=ARPL4"/>
    <hyperlink ref="D62" r:id="rId121" tooltip="Link to Plant Profile" display="http://plants.usda.gov/java/profile?symbol=CAIN2"/>
    <hyperlink ref="D34" r:id="rId122" display="http://plants.usda.gov/java/profile?symbol=ARRE6"/>
    <hyperlink ref="D187" r:id="rId123" display="http://plants.usda.gov/java/profile?symbol=MOFI"/>
    <hyperlink ref="D188" r:id="rId124" display="http://plants.usda.gov/java/profile?symbol=MOPU"/>
    <hyperlink ref="D190" r:id="rId125" display="http://plants.usda.gov/java/profile?symbol=OEBI"/>
    <hyperlink ref="D191" r:id="rId126" display="http://plants.usda.gov/java/profile?symbol=OEPI2"/>
    <hyperlink ref="D192" r:id="rId127" display="http://plants.usda.gov/java/profile?symbol=OERH"/>
    <hyperlink ref="D196" r:id="rId128" display="http://plants.usda.gov/java/profile?symbol=ONBE"/>
    <hyperlink ref="D208" r:id="rId129" display="http://plants.usda.gov/java/profile?symbol=PECO4"/>
    <hyperlink ref="D209" r:id="rId130" display="http://plants.usda.gov/java/profile?symbol=PEDI"/>
    <hyperlink ref="D210" r:id="rId131" display="http://plants.usda.gov/java/profile?symbol=PEGR7"/>
    <hyperlink ref="D211" r:id="rId132" display="http://plants.usda.gov/java/profile?symbol=PEPA7"/>
    <hyperlink ref="D212" r:id="rId133" display="http://plants.usda.gov/java/profile?symbol=PETU"/>
    <hyperlink ref="D82" r:id="rId134" display="http://plants.usda.gov/java/profile?symbol=DACA7"/>
    <hyperlink ref="D83" r:id="rId135" display="http://plants.usda.gov/java/profile?symbol=DAPU5"/>
    <hyperlink ref="D214" r:id="rId136" display="http://plants.usda.gov/java/profile?symbol=PHDI5"/>
    <hyperlink ref="D215" r:id="rId137" display="http://plants.usda.gov/java/profile?symbol=PHMA4"/>
    <hyperlink ref="D216" r:id="rId138" display="http://plants.usda.gov/java/profile?symbol=PHPI"/>
    <hyperlink ref="D221" r:id="rId139" display="http://plants.usda.gov/java/profile?symbol=POPE"/>
    <hyperlink ref="D227" r:id="rId140" display="http://plants.usda.gov/java/profile?symbol=POVI2"/>
    <hyperlink ref="D225" r:id="rId141" display="http://plants.usda.gov/java/profile?symbol=POPE2"/>
    <hyperlink ref="D226" r:id="rId142" display="http://plants.usda.gov/java/profile?symbol=POPU5"/>
    <hyperlink ref="D207" r:id="rId143" display="http://plants.usda.gov/java/profile?symbol=PEES"/>
    <hyperlink ref="D197" r:id="rId144" display="http://plants.usda.gov/java/profile?symbol=ORON"/>
    <hyperlink ref="D270" r:id="rId145" display="http://plants.usda.gov/java/profile?symbol=SINI"/>
    <hyperlink ref="D271" r:id="rId146" display="http://plants.usda.gov/java/profile?symbol=SIST"/>
    <hyperlink ref="D272" r:id="rId147" display="http://plants.usda.gov/java/profile?symbol=SIIN2"/>
    <hyperlink ref="D273" r:id="rId148" display="http://plants.usda.gov/java/profile?symbol=SILA3"/>
    <hyperlink ref="D274" r:id="rId149" display="http://plants.usda.gov/java/profile?symbol=SIPE2"/>
    <hyperlink ref="D275" r:id="rId150" display="http://plants.usda.gov/java/profile?symbol=SITE"/>
    <hyperlink ref="D194" r:id="rId151" display="http://plants.usda.gov/java/profile?symbol=OLRI2"/>
    <hyperlink ref="D195" r:id="rId152" display="http://plants.usda.gov/java/profile?symbol=OLRIH"/>
    <hyperlink ref="D285" r:id="rId153" display="http://plants.usda.gov/java/profile?symbol=SOSC"/>
    <hyperlink ref="D286" r:id="rId154" display="http://plants.usda.gov/java/profile?symbol=SOSP2"/>
    <hyperlink ref="D287" r:id="rId155" display="http://plants.usda.gov/java/profile?symbol=SOUL2"/>
    <hyperlink ref="D193" r:id="rId156" display="http://plants.usda.gov/java/profile?symbol=OLAL2"/>
    <hyperlink ref="D328" r:id="rId157" display="http://plants.usda.gov/java/profile?symbol=VIPUP2"/>
    <hyperlink ref="D51" r:id="rId158" tooltip="Link to Plant Profile" display="http://plants.usda.gov/java/profile?symbol=BABR2"/>
    <hyperlink ref="D252" r:id="rId159" display="http://plants.usda.gov/java/profile?symbol=RUST2"/>
    <hyperlink ref="G40" r:id="rId160" display="http://plants.usda.gov/java/profile?symbol=OPHU"/>
    <hyperlink ref="G9" r:id="rId161" display="http://plants.usda.gov/java/profile?symbol=AMST80"/>
    <hyperlink ref="G59" r:id="rId162" display="http://plants.usda.gov/java/profile?symbol=RHAR4"/>
    <hyperlink ref="G68" r:id="rId163" display="http://plants.usda.gov/java/profile?symbol=SMLA3"/>
    <hyperlink ref="G71" r:id="rId164" display="http://plants.usda.gov/java/profile?symbol=SYOR"/>
    <hyperlink ref="G78" r:id="rId165" display="http://plants.usda.gov/java/profile?symbol=VIRI"/>
  </hyperlinks>
  <pageMargins left="0.75" right="0.75" top="1" bottom="1" header="0.5" footer="0.5"/>
  <pageSetup paperSize="5" scale="70" fitToHeight="200" orientation="landscape" r:id="rId166"/>
  <headerFooter alignWithMargins="0">
    <oddFooter>&amp;L&amp;"Arial,Bold"&amp;K06-049Iowa Natural Resources Conservation Service&amp;C&amp;"Arial,Bold"&amp;K06-049Native Seed Mix Calculator Name Lookup Sheet &amp;D&amp;R&amp;"Arial,Bold"&amp;K06-049&amp;P</oddFooter>
  </headerFooter>
  <legacyDrawing r:id="rId167"/>
</worksheet>
</file>

<file path=xl/worksheets/sheet9.xml><?xml version="1.0" encoding="utf-8"?>
<worksheet xmlns="http://schemas.openxmlformats.org/spreadsheetml/2006/main" xmlns:r="http://schemas.openxmlformats.org/officeDocument/2006/relationships">
  <sheetPr codeName="Sheet1">
    <tabColor theme="2" tint="-0.499984740745262"/>
    <pageSetUpPr fitToPage="1"/>
  </sheetPr>
  <dimension ref="A1:K5175"/>
  <sheetViews>
    <sheetView zoomScaleNormal="100" workbookViewId="0">
      <pane ySplit="2" topLeftCell="A3" activePane="bottomLeft" state="frozen"/>
      <selection activeCell="D28" sqref="D28"/>
      <selection pane="bottomLeft" sqref="A1:B1"/>
    </sheetView>
  </sheetViews>
  <sheetFormatPr defaultColWidth="29" defaultRowHeight="12.75"/>
  <cols>
    <col min="1" max="1" width="40.28515625" style="436" bestFit="1" customWidth="1"/>
    <col min="2" max="2" width="18.28515625" style="436" bestFit="1" customWidth="1"/>
    <col min="3" max="3" width="5.7109375" style="432" customWidth="1"/>
    <col min="4" max="4" width="55.85546875" style="436" bestFit="1" customWidth="1"/>
    <col min="5" max="5" width="20.7109375" style="436" bestFit="1" customWidth="1"/>
    <col min="6" max="6" width="5.7109375" style="432" customWidth="1"/>
    <col min="7" max="7" width="50" style="436" bestFit="1" customWidth="1"/>
    <col min="8" max="8" width="18.85546875" style="436" bestFit="1" customWidth="1"/>
    <col min="9" max="9" width="5.7109375" style="432" customWidth="1"/>
    <col min="10" max="10" width="36" style="436" bestFit="1" customWidth="1"/>
    <col min="11" max="11" width="54.7109375" style="436" customWidth="1"/>
    <col min="12" max="16384" width="29" style="436"/>
  </cols>
  <sheetData>
    <row r="1" spans="1:11" s="432" customFormat="1">
      <c r="A1" s="819" t="s">
        <v>3152</v>
      </c>
      <c r="B1" s="819"/>
      <c r="D1" s="819" t="s">
        <v>9357</v>
      </c>
      <c r="E1" s="819"/>
      <c r="G1" s="819" t="s">
        <v>11022</v>
      </c>
      <c r="H1" s="819"/>
      <c r="J1" s="819" t="s">
        <v>11023</v>
      </c>
      <c r="K1" s="819"/>
    </row>
    <row r="2" spans="1:11" s="433" customFormat="1" ht="13.5" thickBot="1">
      <c r="A2" s="438" t="s">
        <v>9358</v>
      </c>
      <c r="B2" s="438" t="s">
        <v>857</v>
      </c>
      <c r="D2" s="438" t="s">
        <v>11121</v>
      </c>
      <c r="E2" s="438" t="s">
        <v>857</v>
      </c>
      <c r="G2" s="438" t="s">
        <v>11120</v>
      </c>
      <c r="H2" s="438" t="s">
        <v>857</v>
      </c>
      <c r="J2" s="438" t="s">
        <v>885</v>
      </c>
      <c r="K2" s="438" t="s">
        <v>857</v>
      </c>
    </row>
    <row r="3" spans="1:11">
      <c r="A3" s="434" t="s">
        <v>1323</v>
      </c>
      <c r="B3" s="435" t="s">
        <v>1324</v>
      </c>
      <c r="D3" s="434" t="s">
        <v>3153</v>
      </c>
      <c r="E3" s="435" t="s">
        <v>3154</v>
      </c>
      <c r="G3" s="434" t="s">
        <v>9359</v>
      </c>
      <c r="H3" s="435" t="s">
        <v>9360</v>
      </c>
      <c r="J3" s="434" t="s">
        <v>3222</v>
      </c>
      <c r="K3" s="435" t="s">
        <v>3223</v>
      </c>
    </row>
    <row r="4" spans="1:11">
      <c r="A4" s="437" t="s">
        <v>1325</v>
      </c>
      <c r="B4" s="435"/>
      <c r="D4" s="437" t="s">
        <v>3155</v>
      </c>
      <c r="E4" s="435"/>
      <c r="G4" s="434" t="s">
        <v>9361</v>
      </c>
      <c r="H4" s="435" t="s">
        <v>9360</v>
      </c>
      <c r="J4" s="434" t="s">
        <v>11024</v>
      </c>
      <c r="K4" s="435" t="s">
        <v>11025</v>
      </c>
    </row>
    <row r="5" spans="1:11">
      <c r="A5" s="437" t="s">
        <v>1326</v>
      </c>
      <c r="B5" s="435"/>
      <c r="D5" s="437" t="s">
        <v>3156</v>
      </c>
      <c r="E5" s="435"/>
      <c r="G5" s="437" t="s">
        <v>9362</v>
      </c>
      <c r="H5" s="435"/>
      <c r="J5" s="437" t="s">
        <v>11026</v>
      </c>
      <c r="K5" s="435"/>
    </row>
    <row r="6" spans="1:11">
      <c r="A6" s="434" t="s">
        <v>1327</v>
      </c>
      <c r="B6" s="435" t="s">
        <v>1328</v>
      </c>
      <c r="D6" s="434" t="s">
        <v>3157</v>
      </c>
      <c r="E6" s="435" t="s">
        <v>3158</v>
      </c>
      <c r="G6" s="434" t="s">
        <v>9363</v>
      </c>
      <c r="H6" s="435" t="s">
        <v>9364</v>
      </c>
      <c r="J6" s="434" t="s">
        <v>3422</v>
      </c>
      <c r="K6" s="435" t="s">
        <v>3423</v>
      </c>
    </row>
    <row r="7" spans="1:11">
      <c r="A7" s="437" t="s">
        <v>1329</v>
      </c>
      <c r="B7" s="435"/>
      <c r="D7" s="437" t="s">
        <v>3159</v>
      </c>
      <c r="E7" s="435"/>
      <c r="G7" s="434" t="s">
        <v>9365</v>
      </c>
      <c r="H7" s="435" t="s">
        <v>9364</v>
      </c>
      <c r="J7" s="434" t="s">
        <v>3424</v>
      </c>
      <c r="K7" s="435" t="s">
        <v>3423</v>
      </c>
    </row>
    <row r="8" spans="1:11">
      <c r="A8" s="437" t="s">
        <v>1330</v>
      </c>
      <c r="B8" s="435"/>
      <c r="D8" s="437" t="s">
        <v>3160</v>
      </c>
      <c r="E8" s="435"/>
      <c r="G8" s="437" t="s">
        <v>9366</v>
      </c>
      <c r="H8" s="435"/>
      <c r="J8" s="437" t="s">
        <v>3425</v>
      </c>
      <c r="K8" s="435"/>
    </row>
    <row r="9" spans="1:11">
      <c r="A9" s="437" t="s">
        <v>1331</v>
      </c>
      <c r="B9" s="435"/>
      <c r="D9" s="437" t="s">
        <v>3161</v>
      </c>
      <c r="E9" s="435"/>
      <c r="G9" s="437" t="s">
        <v>9367</v>
      </c>
      <c r="H9" s="435"/>
      <c r="J9" s="434" t="s">
        <v>3426</v>
      </c>
      <c r="K9" s="435" t="s">
        <v>3423</v>
      </c>
    </row>
    <row r="10" spans="1:11">
      <c r="A10" s="437" t="s">
        <v>1332</v>
      </c>
      <c r="B10" s="435"/>
      <c r="D10" s="434" t="s">
        <v>3162</v>
      </c>
      <c r="E10" s="435" t="s">
        <v>3163</v>
      </c>
      <c r="G10" s="437" t="s">
        <v>9368</v>
      </c>
      <c r="H10" s="435"/>
      <c r="J10" s="437" t="s">
        <v>3427</v>
      </c>
      <c r="K10" s="435"/>
    </row>
    <row r="11" spans="1:11">
      <c r="A11" s="437" t="s">
        <v>1333</v>
      </c>
      <c r="B11" s="435"/>
      <c r="D11" s="437" t="s">
        <v>3164</v>
      </c>
      <c r="E11" s="435"/>
      <c r="G11" s="434" t="s">
        <v>9369</v>
      </c>
      <c r="H11" s="435" t="s">
        <v>9364</v>
      </c>
      <c r="J11" s="437" t="s">
        <v>3428</v>
      </c>
      <c r="K11" s="435"/>
    </row>
    <row r="12" spans="1:11">
      <c r="A12" s="437" t="s">
        <v>1334</v>
      </c>
      <c r="B12" s="435"/>
      <c r="D12" s="434" t="s">
        <v>3165</v>
      </c>
      <c r="E12" s="435" t="s">
        <v>3166</v>
      </c>
      <c r="G12" s="437" t="s">
        <v>9370</v>
      </c>
      <c r="H12" s="435"/>
      <c r="J12" s="437" t="s">
        <v>3429</v>
      </c>
      <c r="K12" s="435"/>
    </row>
    <row r="13" spans="1:11">
      <c r="A13" s="437" t="s">
        <v>1335</v>
      </c>
      <c r="B13" s="435"/>
      <c r="D13" s="437" t="s">
        <v>3167</v>
      </c>
      <c r="E13" s="435"/>
      <c r="G13" s="434" t="s">
        <v>9371</v>
      </c>
      <c r="H13" s="435" t="s">
        <v>9372</v>
      </c>
      <c r="J13" s="437" t="s">
        <v>3430</v>
      </c>
      <c r="K13" s="435"/>
    </row>
    <row r="14" spans="1:11">
      <c r="A14" s="434" t="s">
        <v>1336</v>
      </c>
      <c r="B14" s="435" t="s">
        <v>1337</v>
      </c>
      <c r="D14" s="434" t="s">
        <v>3168</v>
      </c>
      <c r="E14" s="435" t="s">
        <v>3169</v>
      </c>
      <c r="G14" s="437" t="s">
        <v>9373</v>
      </c>
      <c r="H14" s="435"/>
      <c r="J14" s="437" t="s">
        <v>3431</v>
      </c>
      <c r="K14" s="435"/>
    </row>
    <row r="15" spans="1:11">
      <c r="A15" s="437" t="s">
        <v>1338</v>
      </c>
      <c r="B15" s="435"/>
      <c r="D15" s="434" t="s">
        <v>612</v>
      </c>
      <c r="E15" s="435" t="s">
        <v>3170</v>
      </c>
      <c r="G15" s="437" t="s">
        <v>9374</v>
      </c>
      <c r="H15" s="435"/>
      <c r="J15" s="434" t="s">
        <v>3542</v>
      </c>
      <c r="K15" s="435" t="s">
        <v>3543</v>
      </c>
    </row>
    <row r="16" spans="1:11">
      <c r="A16" s="437" t="s">
        <v>1339</v>
      </c>
      <c r="B16" s="435"/>
      <c r="D16" s="434" t="s">
        <v>3171</v>
      </c>
      <c r="E16" s="435" t="s">
        <v>3172</v>
      </c>
      <c r="G16" s="437" t="s">
        <v>9375</v>
      </c>
      <c r="H16" s="435"/>
      <c r="J16" s="437" t="s">
        <v>3544</v>
      </c>
      <c r="K16" s="435"/>
    </row>
    <row r="17" spans="1:11">
      <c r="A17" s="437" t="s">
        <v>1340</v>
      </c>
      <c r="B17" s="435"/>
      <c r="D17" s="437" t="s">
        <v>3173</v>
      </c>
      <c r="E17" s="435"/>
      <c r="G17" s="437" t="s">
        <v>9376</v>
      </c>
      <c r="H17" s="435"/>
      <c r="J17" s="437" t="s">
        <v>3545</v>
      </c>
      <c r="K17" s="435"/>
    </row>
    <row r="18" spans="1:11">
      <c r="A18" s="437" t="s">
        <v>1341</v>
      </c>
      <c r="B18" s="435"/>
      <c r="D18" s="437" t="s">
        <v>3174</v>
      </c>
      <c r="E18" s="435"/>
      <c r="G18" s="437" t="s">
        <v>9377</v>
      </c>
      <c r="H18" s="435"/>
      <c r="J18" s="434" t="s">
        <v>4120</v>
      </c>
      <c r="K18" s="435" t="s">
        <v>4121</v>
      </c>
    </row>
    <row r="19" spans="1:11">
      <c r="A19" s="437" t="s">
        <v>1342</v>
      </c>
      <c r="B19" s="435"/>
      <c r="D19" s="437" t="s">
        <v>3175</v>
      </c>
      <c r="E19" s="435"/>
      <c r="G19" s="434" t="s">
        <v>9378</v>
      </c>
      <c r="H19" s="435" t="s">
        <v>9379</v>
      </c>
      <c r="J19" s="437" t="s">
        <v>4122</v>
      </c>
      <c r="K19" s="435"/>
    </row>
    <row r="20" spans="1:11">
      <c r="A20" s="437" t="s">
        <v>1343</v>
      </c>
      <c r="B20" s="435"/>
      <c r="D20" s="437" t="s">
        <v>3176</v>
      </c>
      <c r="E20" s="435"/>
      <c r="G20" s="434" t="s">
        <v>9380</v>
      </c>
      <c r="H20" s="435" t="s">
        <v>9379</v>
      </c>
      <c r="J20" s="434" t="s">
        <v>4123</v>
      </c>
      <c r="K20" s="435" t="s">
        <v>4124</v>
      </c>
    </row>
    <row r="21" spans="1:11">
      <c r="A21" s="437" t="s">
        <v>1344</v>
      </c>
      <c r="B21" s="435"/>
      <c r="D21" s="437" t="s">
        <v>3177</v>
      </c>
      <c r="E21" s="435"/>
      <c r="G21" s="437" t="s">
        <v>9381</v>
      </c>
      <c r="H21" s="435"/>
      <c r="J21" s="434" t="s">
        <v>4125</v>
      </c>
      <c r="K21" s="435" t="s">
        <v>4124</v>
      </c>
    </row>
    <row r="22" spans="1:11">
      <c r="A22" s="434" t="s">
        <v>1345</v>
      </c>
      <c r="B22" s="435" t="s">
        <v>1346</v>
      </c>
      <c r="D22" s="437" t="s">
        <v>3178</v>
      </c>
      <c r="E22" s="435"/>
      <c r="G22" s="437" t="s">
        <v>9382</v>
      </c>
      <c r="H22" s="435"/>
      <c r="J22" s="437" t="s">
        <v>4126</v>
      </c>
      <c r="K22" s="435"/>
    </row>
    <row r="23" spans="1:11">
      <c r="A23" s="434" t="s">
        <v>1347</v>
      </c>
      <c r="B23" s="435" t="s">
        <v>1346</v>
      </c>
      <c r="D23" s="437" t="s">
        <v>3179</v>
      </c>
      <c r="E23" s="435"/>
      <c r="G23" s="437" t="s">
        <v>9383</v>
      </c>
      <c r="H23" s="435"/>
      <c r="J23" s="437" t="s">
        <v>4127</v>
      </c>
      <c r="K23" s="435"/>
    </row>
    <row r="24" spans="1:11">
      <c r="A24" s="437" t="s">
        <v>1348</v>
      </c>
      <c r="B24" s="435"/>
      <c r="D24" s="437" t="s">
        <v>3180</v>
      </c>
      <c r="E24" s="435"/>
      <c r="G24" s="434" t="s">
        <v>9384</v>
      </c>
      <c r="H24" s="435" t="s">
        <v>9385</v>
      </c>
      <c r="J24" s="437" t="s">
        <v>4128</v>
      </c>
      <c r="K24" s="435"/>
    </row>
    <row r="25" spans="1:11">
      <c r="A25" s="437" t="s">
        <v>1349</v>
      </c>
      <c r="B25" s="435"/>
      <c r="D25" s="437" t="s">
        <v>3181</v>
      </c>
      <c r="E25" s="435"/>
      <c r="G25" s="437" t="s">
        <v>9386</v>
      </c>
      <c r="H25" s="435"/>
      <c r="J25" s="437" t="s">
        <v>4129</v>
      </c>
      <c r="K25" s="435"/>
    </row>
    <row r="26" spans="1:11">
      <c r="A26" s="437" t="s">
        <v>1350</v>
      </c>
      <c r="B26" s="435"/>
      <c r="D26" s="437" t="s">
        <v>3182</v>
      </c>
      <c r="E26" s="435"/>
      <c r="G26" s="437" t="s">
        <v>9387</v>
      </c>
      <c r="H26" s="435"/>
      <c r="J26" s="434" t="s">
        <v>4130</v>
      </c>
      <c r="K26" s="435" t="s">
        <v>4124</v>
      </c>
    </row>
    <row r="27" spans="1:11">
      <c r="A27" s="434" t="s">
        <v>1351</v>
      </c>
      <c r="B27" s="435" t="s">
        <v>1352</v>
      </c>
      <c r="D27" s="437" t="s">
        <v>3183</v>
      </c>
      <c r="E27" s="435"/>
      <c r="G27" s="437" t="s">
        <v>9388</v>
      </c>
      <c r="H27" s="435"/>
      <c r="J27" s="437" t="s">
        <v>4131</v>
      </c>
      <c r="K27" s="435"/>
    </row>
    <row r="28" spans="1:11">
      <c r="A28" s="437" t="s">
        <v>1353</v>
      </c>
      <c r="B28" s="435"/>
      <c r="D28" s="437" t="s">
        <v>3184</v>
      </c>
      <c r="E28" s="435"/>
      <c r="G28" s="437" t="s">
        <v>9389</v>
      </c>
      <c r="H28" s="435"/>
      <c r="J28" s="437" t="s">
        <v>4132</v>
      </c>
      <c r="K28" s="435"/>
    </row>
    <row r="29" spans="1:11">
      <c r="A29" s="437" t="s">
        <v>1354</v>
      </c>
      <c r="B29" s="435"/>
      <c r="D29" s="437" t="s">
        <v>3185</v>
      </c>
      <c r="E29" s="435"/>
      <c r="G29" s="434" t="s">
        <v>9390</v>
      </c>
      <c r="H29" s="435" t="s">
        <v>9391</v>
      </c>
      <c r="J29" s="437" t="s">
        <v>4133</v>
      </c>
      <c r="K29" s="435"/>
    </row>
    <row r="30" spans="1:11">
      <c r="A30" s="434" t="s">
        <v>1064</v>
      </c>
      <c r="B30" s="435" t="s">
        <v>1355</v>
      </c>
      <c r="D30" s="437" t="s">
        <v>3186</v>
      </c>
      <c r="E30" s="435"/>
      <c r="G30" s="434" t="s">
        <v>9392</v>
      </c>
      <c r="H30" s="435" t="s">
        <v>9391</v>
      </c>
      <c r="J30" s="437" t="s">
        <v>4134</v>
      </c>
      <c r="K30" s="435"/>
    </row>
    <row r="31" spans="1:11">
      <c r="A31" s="437" t="s">
        <v>1356</v>
      </c>
      <c r="B31" s="435"/>
      <c r="D31" s="437" t="s">
        <v>3187</v>
      </c>
      <c r="E31" s="435"/>
      <c r="G31" s="437" t="s">
        <v>9393</v>
      </c>
      <c r="H31" s="435"/>
      <c r="J31" s="434" t="s">
        <v>4135</v>
      </c>
      <c r="K31" s="435" t="s">
        <v>4136</v>
      </c>
    </row>
    <row r="32" spans="1:11">
      <c r="A32" s="437" t="s">
        <v>1357</v>
      </c>
      <c r="B32" s="435"/>
      <c r="D32" s="437" t="s">
        <v>3188</v>
      </c>
      <c r="E32" s="435"/>
      <c r="G32" s="437" t="s">
        <v>9394</v>
      </c>
      <c r="H32" s="435"/>
      <c r="J32" s="434" t="s">
        <v>4137</v>
      </c>
      <c r="K32" s="435" t="s">
        <v>4136</v>
      </c>
    </row>
    <row r="33" spans="1:11">
      <c r="A33" s="437" t="s">
        <v>1358</v>
      </c>
      <c r="B33" s="435"/>
      <c r="D33" s="437" t="s">
        <v>3189</v>
      </c>
      <c r="E33" s="435"/>
      <c r="G33" s="437" t="s">
        <v>9395</v>
      </c>
      <c r="H33" s="435"/>
      <c r="J33" s="437" t="s">
        <v>4138</v>
      </c>
      <c r="K33" s="435"/>
    </row>
    <row r="34" spans="1:11">
      <c r="A34" s="437" t="s">
        <v>1359</v>
      </c>
      <c r="B34" s="435"/>
      <c r="D34" s="437" t="s">
        <v>3190</v>
      </c>
      <c r="E34" s="435"/>
      <c r="G34" s="437" t="s">
        <v>9396</v>
      </c>
      <c r="H34" s="435"/>
      <c r="J34" s="437" t="s">
        <v>4139</v>
      </c>
      <c r="K34" s="435"/>
    </row>
    <row r="35" spans="1:11">
      <c r="A35" s="434" t="s">
        <v>1360</v>
      </c>
      <c r="B35" s="435" t="s">
        <v>1361</v>
      </c>
      <c r="D35" s="437" t="s">
        <v>3191</v>
      </c>
      <c r="E35" s="435"/>
      <c r="G35" s="437" t="s">
        <v>9397</v>
      </c>
      <c r="H35" s="435"/>
      <c r="J35" s="437" t="s">
        <v>4140</v>
      </c>
      <c r="K35" s="435"/>
    </row>
    <row r="36" spans="1:11">
      <c r="A36" s="437" t="s">
        <v>1362</v>
      </c>
      <c r="B36" s="435"/>
      <c r="D36" s="437" t="s">
        <v>3192</v>
      </c>
      <c r="E36" s="435"/>
      <c r="G36" s="434" t="s">
        <v>9398</v>
      </c>
      <c r="H36" s="435" t="s">
        <v>9399</v>
      </c>
      <c r="J36" s="437" t="s">
        <v>4141</v>
      </c>
      <c r="K36" s="435"/>
    </row>
    <row r="37" spans="1:11">
      <c r="A37" s="437" t="s">
        <v>1363</v>
      </c>
      <c r="B37" s="435"/>
      <c r="D37" s="434" t="s">
        <v>3193</v>
      </c>
      <c r="E37" s="435" t="s">
        <v>3194</v>
      </c>
      <c r="G37" s="434" t="s">
        <v>9400</v>
      </c>
      <c r="H37" s="435" t="s">
        <v>9401</v>
      </c>
      <c r="J37" s="434" t="s">
        <v>4142</v>
      </c>
      <c r="K37" s="435" t="s">
        <v>4143</v>
      </c>
    </row>
    <row r="38" spans="1:11">
      <c r="A38" s="437" t="s">
        <v>1364</v>
      </c>
      <c r="B38" s="435"/>
      <c r="D38" s="434" t="s">
        <v>3195</v>
      </c>
      <c r="E38" s="435" t="s">
        <v>3194</v>
      </c>
      <c r="G38" s="434" t="s">
        <v>9402</v>
      </c>
      <c r="H38" s="435" t="s">
        <v>9401</v>
      </c>
      <c r="J38" s="434" t="s">
        <v>4144</v>
      </c>
      <c r="K38" s="435" t="s">
        <v>4143</v>
      </c>
    </row>
    <row r="39" spans="1:11">
      <c r="A39" s="437" t="s">
        <v>1365</v>
      </c>
      <c r="B39" s="435"/>
      <c r="D39" s="437" t="s">
        <v>3196</v>
      </c>
      <c r="E39" s="435"/>
      <c r="G39" s="437" t="s">
        <v>9403</v>
      </c>
      <c r="H39" s="435"/>
      <c r="J39" s="437" t="s">
        <v>4145</v>
      </c>
      <c r="K39" s="435"/>
    </row>
    <row r="40" spans="1:11">
      <c r="A40" s="434" t="s">
        <v>1366</v>
      </c>
      <c r="B40" s="435" t="s">
        <v>1367</v>
      </c>
      <c r="D40" s="437" t="s">
        <v>3197</v>
      </c>
      <c r="E40" s="435"/>
      <c r="G40" s="437" t="s">
        <v>9404</v>
      </c>
      <c r="H40" s="435"/>
      <c r="J40" s="434" t="s">
        <v>4146</v>
      </c>
      <c r="K40" s="435" t="s">
        <v>4143</v>
      </c>
    </row>
    <row r="41" spans="1:11">
      <c r="A41" s="434" t="s">
        <v>1368</v>
      </c>
      <c r="B41" s="435" t="s">
        <v>1367</v>
      </c>
      <c r="D41" s="437" t="s">
        <v>3198</v>
      </c>
      <c r="E41" s="435"/>
      <c r="G41" s="434" t="s">
        <v>9405</v>
      </c>
      <c r="H41" s="435" t="s">
        <v>9401</v>
      </c>
      <c r="J41" s="434" t="s">
        <v>11027</v>
      </c>
      <c r="K41" s="435" t="s">
        <v>11028</v>
      </c>
    </row>
    <row r="42" spans="1:11">
      <c r="A42" s="437" t="s">
        <v>1369</v>
      </c>
      <c r="B42" s="435"/>
      <c r="D42" s="437" t="s">
        <v>3199</v>
      </c>
      <c r="E42" s="435"/>
      <c r="G42" s="437" t="s">
        <v>9406</v>
      </c>
      <c r="H42" s="435"/>
      <c r="J42" s="437" t="s">
        <v>11029</v>
      </c>
      <c r="K42" s="435"/>
    </row>
    <row r="43" spans="1:11">
      <c r="A43" s="437" t="s">
        <v>1370</v>
      </c>
      <c r="B43" s="435"/>
      <c r="D43" s="437" t="s">
        <v>3200</v>
      </c>
      <c r="E43" s="435"/>
      <c r="G43" s="437" t="s">
        <v>9407</v>
      </c>
      <c r="H43" s="435"/>
      <c r="J43" s="437" t="s">
        <v>11030</v>
      </c>
      <c r="K43" s="435"/>
    </row>
    <row r="44" spans="1:11">
      <c r="A44" s="434" t="s">
        <v>1371</v>
      </c>
      <c r="B44" s="435" t="s">
        <v>1372</v>
      </c>
      <c r="D44" s="437" t="s">
        <v>3201</v>
      </c>
      <c r="E44" s="435"/>
      <c r="G44" s="437" t="s">
        <v>9408</v>
      </c>
      <c r="H44" s="435"/>
      <c r="J44" s="434" t="s">
        <v>848</v>
      </c>
      <c r="K44" s="435" t="s">
        <v>11031</v>
      </c>
    </row>
    <row r="45" spans="1:11">
      <c r="A45" s="434" t="s">
        <v>1373</v>
      </c>
      <c r="B45" s="435" t="s">
        <v>1374</v>
      </c>
      <c r="D45" s="434" t="s">
        <v>3202</v>
      </c>
      <c r="E45" s="435" t="s">
        <v>3203</v>
      </c>
      <c r="G45" s="437" t="s">
        <v>9409</v>
      </c>
      <c r="H45" s="435"/>
      <c r="J45" s="434" t="s">
        <v>11032</v>
      </c>
      <c r="K45" s="435" t="s">
        <v>11033</v>
      </c>
    </row>
    <row r="46" spans="1:11">
      <c r="A46" s="434" t="s">
        <v>1375</v>
      </c>
      <c r="B46" s="435" t="s">
        <v>1376</v>
      </c>
      <c r="D46" s="437" t="s">
        <v>3204</v>
      </c>
      <c r="E46" s="435"/>
      <c r="G46" s="437" t="s">
        <v>9410</v>
      </c>
      <c r="H46" s="435"/>
      <c r="J46" s="434" t="s">
        <v>11034</v>
      </c>
      <c r="K46" s="435" t="s">
        <v>11033</v>
      </c>
    </row>
    <row r="47" spans="1:11">
      <c r="A47" s="437" t="s">
        <v>1377</v>
      </c>
      <c r="B47" s="435"/>
      <c r="D47" s="437" t="s">
        <v>3205</v>
      </c>
      <c r="E47" s="435"/>
      <c r="G47" s="434" t="s">
        <v>9411</v>
      </c>
      <c r="H47" s="435"/>
      <c r="J47" s="437" t="s">
        <v>11035</v>
      </c>
      <c r="K47" s="435"/>
    </row>
    <row r="48" spans="1:11">
      <c r="A48" s="437" t="s">
        <v>1378</v>
      </c>
      <c r="B48" s="435"/>
      <c r="D48" s="434" t="s">
        <v>3206</v>
      </c>
      <c r="E48" s="435" t="s">
        <v>3207</v>
      </c>
      <c r="G48" s="434" t="s">
        <v>786</v>
      </c>
      <c r="H48" s="435" t="s">
        <v>3268</v>
      </c>
      <c r="J48" s="437" t="s">
        <v>11036</v>
      </c>
      <c r="K48" s="435"/>
    </row>
    <row r="49" spans="1:11">
      <c r="A49" s="434" t="s">
        <v>1379</v>
      </c>
      <c r="B49" s="435" t="s">
        <v>1374</v>
      </c>
      <c r="D49" s="437" t="s">
        <v>783</v>
      </c>
      <c r="E49" s="435"/>
      <c r="G49" s="437" t="s">
        <v>3269</v>
      </c>
      <c r="H49" s="435"/>
      <c r="J49" s="437" t="s">
        <v>11037</v>
      </c>
      <c r="K49" s="435"/>
    </row>
    <row r="50" spans="1:11">
      <c r="A50" s="434" t="s">
        <v>1380</v>
      </c>
      <c r="B50" s="435" t="s">
        <v>1381</v>
      </c>
      <c r="D50" s="437" t="s">
        <v>3208</v>
      </c>
      <c r="E50" s="435"/>
      <c r="G50" s="434" t="s">
        <v>787</v>
      </c>
      <c r="H50" s="435" t="s">
        <v>3270</v>
      </c>
      <c r="J50" s="437" t="s">
        <v>11038</v>
      </c>
      <c r="K50" s="435"/>
    </row>
    <row r="51" spans="1:11">
      <c r="A51" s="437" t="s">
        <v>1382</v>
      </c>
      <c r="B51" s="435"/>
      <c r="D51" s="434" t="s">
        <v>783</v>
      </c>
      <c r="E51" s="435" t="s">
        <v>3209</v>
      </c>
      <c r="G51" s="434" t="s">
        <v>788</v>
      </c>
      <c r="H51" s="435" t="s">
        <v>3271</v>
      </c>
      <c r="J51" s="437" t="s">
        <v>11039</v>
      </c>
      <c r="K51" s="435"/>
    </row>
    <row r="52" spans="1:11">
      <c r="A52" s="434" t="s">
        <v>1383</v>
      </c>
      <c r="B52" s="435" t="s">
        <v>1381</v>
      </c>
      <c r="D52" s="434" t="s">
        <v>784</v>
      </c>
      <c r="E52" s="435" t="s">
        <v>3210</v>
      </c>
      <c r="G52" s="437" t="s">
        <v>3272</v>
      </c>
      <c r="H52" s="435"/>
      <c r="J52" s="434" t="s">
        <v>11040</v>
      </c>
      <c r="K52" s="435" t="s">
        <v>11041</v>
      </c>
    </row>
    <row r="53" spans="1:11">
      <c r="A53" s="437" t="s">
        <v>1384</v>
      </c>
      <c r="B53" s="435"/>
      <c r="D53" s="437" t="s">
        <v>3211</v>
      </c>
      <c r="E53" s="435"/>
      <c r="G53" s="434" t="s">
        <v>3281</v>
      </c>
      <c r="H53" s="435" t="s">
        <v>3282</v>
      </c>
      <c r="J53" s="434" t="s">
        <v>11042</v>
      </c>
      <c r="K53" s="435" t="s">
        <v>11041</v>
      </c>
    </row>
    <row r="54" spans="1:11">
      <c r="A54" s="437" t="s">
        <v>1385</v>
      </c>
      <c r="B54" s="435"/>
      <c r="D54" s="434" t="s">
        <v>3212</v>
      </c>
      <c r="E54" s="435" t="s">
        <v>3213</v>
      </c>
      <c r="G54" s="434" t="s">
        <v>9412</v>
      </c>
      <c r="H54" s="435" t="s">
        <v>9413</v>
      </c>
      <c r="J54" s="437" t="s">
        <v>11043</v>
      </c>
      <c r="K54" s="435"/>
    </row>
    <row r="55" spans="1:11">
      <c r="A55" s="437" t="s">
        <v>1386</v>
      </c>
      <c r="B55" s="435"/>
      <c r="D55" s="434" t="s">
        <v>3214</v>
      </c>
      <c r="E55" s="435" t="s">
        <v>3215</v>
      </c>
      <c r="G55" s="434" t="s">
        <v>9414</v>
      </c>
      <c r="H55" s="435" t="s">
        <v>9415</v>
      </c>
      <c r="J55" s="437" t="s">
        <v>11044</v>
      </c>
      <c r="K55" s="435"/>
    </row>
    <row r="56" spans="1:11">
      <c r="A56" s="437" t="s">
        <v>1387</v>
      </c>
      <c r="B56" s="435"/>
      <c r="D56" s="437" t="s">
        <v>3216</v>
      </c>
      <c r="E56" s="435"/>
      <c r="G56" s="437" t="s">
        <v>9416</v>
      </c>
      <c r="H56" s="435"/>
      <c r="J56" s="437" t="s">
        <v>11045</v>
      </c>
      <c r="K56" s="435"/>
    </row>
    <row r="57" spans="1:11">
      <c r="A57" s="437" t="s">
        <v>1388</v>
      </c>
      <c r="B57" s="435"/>
      <c r="D57" s="434" t="s">
        <v>823</v>
      </c>
      <c r="E57" s="435" t="s">
        <v>3217</v>
      </c>
      <c r="G57" s="437" t="s">
        <v>9417</v>
      </c>
      <c r="H57" s="435"/>
      <c r="J57" s="437" t="s">
        <v>11046</v>
      </c>
      <c r="K57" s="435"/>
    </row>
    <row r="58" spans="1:11">
      <c r="A58" s="434" t="s">
        <v>1389</v>
      </c>
      <c r="B58" s="435" t="s">
        <v>1381</v>
      </c>
      <c r="D58" s="434" t="s">
        <v>3218</v>
      </c>
      <c r="E58" s="435" t="s">
        <v>3217</v>
      </c>
      <c r="G58" s="437" t="s">
        <v>9418</v>
      </c>
      <c r="H58" s="435"/>
      <c r="J58" s="434" t="s">
        <v>276</v>
      </c>
      <c r="K58" s="435" t="s">
        <v>11047</v>
      </c>
    </row>
    <row r="59" spans="1:11">
      <c r="A59" s="437" t="s">
        <v>1390</v>
      </c>
      <c r="B59" s="435"/>
      <c r="D59" s="437" t="s">
        <v>3219</v>
      </c>
      <c r="E59" s="435"/>
      <c r="G59" s="434" t="s">
        <v>3405</v>
      </c>
      <c r="H59" s="435" t="s">
        <v>3406</v>
      </c>
      <c r="J59" s="437" t="s">
        <v>11048</v>
      </c>
      <c r="K59" s="435"/>
    </row>
    <row r="60" spans="1:11">
      <c r="A60" s="437" t="s">
        <v>1391</v>
      </c>
      <c r="B60" s="435"/>
      <c r="D60" s="434" t="s">
        <v>3220</v>
      </c>
      <c r="E60" s="435" t="s">
        <v>3221</v>
      </c>
      <c r="G60" s="434" t="s">
        <v>3407</v>
      </c>
      <c r="H60" s="435" t="s">
        <v>3406</v>
      </c>
      <c r="J60" s="434" t="s">
        <v>4515</v>
      </c>
      <c r="K60" s="435" t="s">
        <v>4516</v>
      </c>
    </row>
    <row r="61" spans="1:11">
      <c r="A61" s="434" t="s">
        <v>1392</v>
      </c>
      <c r="B61" s="435" t="s">
        <v>1393</v>
      </c>
      <c r="D61" s="434" t="s">
        <v>3222</v>
      </c>
      <c r="E61" s="435" t="s">
        <v>3223</v>
      </c>
      <c r="G61" s="437" t="s">
        <v>3408</v>
      </c>
      <c r="H61" s="435"/>
      <c r="J61" s="437" t="s">
        <v>4517</v>
      </c>
      <c r="K61" s="435"/>
    </row>
    <row r="62" spans="1:11">
      <c r="A62" s="437" t="s">
        <v>1394</v>
      </c>
      <c r="B62" s="435"/>
      <c r="D62" s="434" t="s">
        <v>3224</v>
      </c>
      <c r="E62" s="435" t="s">
        <v>3225</v>
      </c>
      <c r="G62" s="434" t="s">
        <v>9419</v>
      </c>
      <c r="H62" s="435" t="s">
        <v>9420</v>
      </c>
      <c r="J62" s="434" t="s">
        <v>4668</v>
      </c>
      <c r="K62" s="435" t="s">
        <v>4669</v>
      </c>
    </row>
    <row r="63" spans="1:11">
      <c r="A63" s="434" t="s">
        <v>1395</v>
      </c>
      <c r="B63" s="435" t="s">
        <v>1396</v>
      </c>
      <c r="D63" s="434" t="s">
        <v>3226</v>
      </c>
      <c r="E63" s="435" t="s">
        <v>3227</v>
      </c>
      <c r="G63" s="434" t="s">
        <v>9421</v>
      </c>
      <c r="H63" s="435" t="s">
        <v>9420</v>
      </c>
      <c r="J63" s="437" t="s">
        <v>4670</v>
      </c>
      <c r="K63" s="435"/>
    </row>
    <row r="64" spans="1:11">
      <c r="A64" s="434" t="s">
        <v>1397</v>
      </c>
      <c r="B64" s="435" t="s">
        <v>1398</v>
      </c>
      <c r="D64" s="437" t="s">
        <v>3228</v>
      </c>
      <c r="E64" s="435"/>
      <c r="G64" s="434" t="s">
        <v>9422</v>
      </c>
      <c r="H64" s="435" t="s">
        <v>9423</v>
      </c>
      <c r="J64" s="434" t="s">
        <v>4675</v>
      </c>
      <c r="K64" s="435" t="s">
        <v>4676</v>
      </c>
    </row>
    <row r="65" spans="1:11">
      <c r="A65" s="437" t="s">
        <v>1399</v>
      </c>
      <c r="B65" s="435"/>
      <c r="D65" s="434" t="s">
        <v>3229</v>
      </c>
      <c r="E65" s="435" t="s">
        <v>3230</v>
      </c>
      <c r="G65" s="434" t="s">
        <v>9424</v>
      </c>
      <c r="H65" s="435" t="s">
        <v>9423</v>
      </c>
      <c r="J65" s="437" t="s">
        <v>4677</v>
      </c>
      <c r="K65" s="435"/>
    </row>
    <row r="66" spans="1:11">
      <c r="A66" s="437" t="s">
        <v>1400</v>
      </c>
      <c r="B66" s="435"/>
      <c r="D66" s="437" t="s">
        <v>3231</v>
      </c>
      <c r="E66" s="435"/>
      <c r="G66" s="437" t="s">
        <v>9425</v>
      </c>
      <c r="H66" s="435"/>
      <c r="J66" s="434" t="s">
        <v>4678</v>
      </c>
      <c r="K66" s="435" t="s">
        <v>4679</v>
      </c>
    </row>
    <row r="67" spans="1:11">
      <c r="A67" s="437" t="s">
        <v>1401</v>
      </c>
      <c r="B67" s="435"/>
      <c r="D67" s="437" t="s">
        <v>3232</v>
      </c>
      <c r="E67" s="435"/>
      <c r="G67" s="434" t="s">
        <v>9426</v>
      </c>
      <c r="H67" s="435" t="s">
        <v>9427</v>
      </c>
      <c r="J67" s="434" t="s">
        <v>4680</v>
      </c>
      <c r="K67" s="435" t="s">
        <v>4679</v>
      </c>
    </row>
    <row r="68" spans="1:11">
      <c r="A68" s="437" t="s">
        <v>1402</v>
      </c>
      <c r="B68" s="435"/>
      <c r="D68" s="437" t="s">
        <v>3233</v>
      </c>
      <c r="E68" s="435"/>
      <c r="G68" s="437" t="s">
        <v>9428</v>
      </c>
      <c r="H68" s="435"/>
      <c r="J68" s="434" t="s">
        <v>4681</v>
      </c>
      <c r="K68" s="435" t="s">
        <v>4682</v>
      </c>
    </row>
    <row r="69" spans="1:11">
      <c r="A69" s="434" t="s">
        <v>1403</v>
      </c>
      <c r="B69" s="435" t="s">
        <v>1404</v>
      </c>
      <c r="D69" s="437" t="s">
        <v>3234</v>
      </c>
      <c r="E69" s="435"/>
      <c r="G69" s="437" t="s">
        <v>9429</v>
      </c>
      <c r="H69" s="435"/>
      <c r="J69" s="437" t="s">
        <v>4683</v>
      </c>
      <c r="K69" s="435"/>
    </row>
    <row r="70" spans="1:11">
      <c r="A70" s="434" t="s">
        <v>1405</v>
      </c>
      <c r="B70" s="435" t="s">
        <v>1406</v>
      </c>
      <c r="D70" s="434" t="s">
        <v>3235</v>
      </c>
      <c r="E70" s="435" t="s">
        <v>3236</v>
      </c>
      <c r="G70" s="437" t="s">
        <v>9430</v>
      </c>
      <c r="H70" s="435"/>
      <c r="J70" s="434" t="s">
        <v>4684</v>
      </c>
      <c r="K70" s="435" t="s">
        <v>4685</v>
      </c>
    </row>
    <row r="71" spans="1:11">
      <c r="A71" s="434" t="s">
        <v>1407</v>
      </c>
      <c r="B71" s="435" t="s">
        <v>1408</v>
      </c>
      <c r="D71" s="437" t="s">
        <v>3237</v>
      </c>
      <c r="E71" s="435"/>
      <c r="G71" s="437" t="s">
        <v>9431</v>
      </c>
      <c r="H71" s="435"/>
      <c r="J71" s="437" t="s">
        <v>4686</v>
      </c>
      <c r="K71" s="435"/>
    </row>
    <row r="72" spans="1:11">
      <c r="A72" s="437" t="s">
        <v>1409</v>
      </c>
      <c r="B72" s="435"/>
      <c r="D72" s="434" t="s">
        <v>3238</v>
      </c>
      <c r="E72" s="435" t="s">
        <v>3239</v>
      </c>
      <c r="G72" s="437" t="s">
        <v>9432</v>
      </c>
      <c r="H72" s="435"/>
      <c r="J72" s="434" t="s">
        <v>4687</v>
      </c>
      <c r="K72" s="435" t="s">
        <v>4688</v>
      </c>
    </row>
    <row r="73" spans="1:11">
      <c r="A73" s="437" t="s">
        <v>1410</v>
      </c>
      <c r="B73" s="435"/>
      <c r="D73" s="434" t="s">
        <v>3240</v>
      </c>
      <c r="E73" s="435" t="s">
        <v>3239</v>
      </c>
      <c r="G73" s="434" t="s">
        <v>9433</v>
      </c>
      <c r="H73" s="435" t="s">
        <v>9434</v>
      </c>
      <c r="J73" s="434" t="s">
        <v>4689</v>
      </c>
      <c r="K73" s="435" t="s">
        <v>4690</v>
      </c>
    </row>
    <row r="74" spans="1:11">
      <c r="A74" s="437" t="s">
        <v>1411</v>
      </c>
      <c r="B74" s="435"/>
      <c r="D74" s="437" t="s">
        <v>3241</v>
      </c>
      <c r="E74" s="435"/>
      <c r="G74" s="437" t="s">
        <v>9435</v>
      </c>
      <c r="H74" s="435"/>
      <c r="J74" s="434" t="s">
        <v>4691</v>
      </c>
      <c r="K74" s="435" t="s">
        <v>4690</v>
      </c>
    </row>
    <row r="75" spans="1:11">
      <c r="A75" s="437" t="s">
        <v>1412</v>
      </c>
      <c r="B75" s="435"/>
      <c r="D75" s="437" t="s">
        <v>3242</v>
      </c>
      <c r="E75" s="435"/>
      <c r="G75" s="434" t="s">
        <v>9436</v>
      </c>
      <c r="H75" s="435" t="s">
        <v>9437</v>
      </c>
      <c r="J75" s="437" t="s">
        <v>4692</v>
      </c>
      <c r="K75" s="435"/>
    </row>
    <row r="76" spans="1:11">
      <c r="A76" s="437" t="s">
        <v>1413</v>
      </c>
      <c r="B76" s="435"/>
      <c r="D76" s="437" t="s">
        <v>3243</v>
      </c>
      <c r="E76" s="435"/>
      <c r="G76" s="437" t="s">
        <v>9438</v>
      </c>
      <c r="H76" s="435"/>
      <c r="J76" s="437" t="s">
        <v>4693</v>
      </c>
      <c r="K76" s="435"/>
    </row>
    <row r="77" spans="1:11">
      <c r="A77" s="434" t="s">
        <v>871</v>
      </c>
      <c r="B77" s="435" t="s">
        <v>1414</v>
      </c>
      <c r="D77" s="437" t="s">
        <v>3244</v>
      </c>
      <c r="E77" s="435"/>
      <c r="G77" s="437" t="s">
        <v>9439</v>
      </c>
      <c r="H77" s="435"/>
      <c r="J77" s="437" t="s">
        <v>4694</v>
      </c>
      <c r="K77" s="435"/>
    </row>
    <row r="78" spans="1:11">
      <c r="A78" s="434" t="s">
        <v>1415</v>
      </c>
      <c r="B78" s="435" t="s">
        <v>1414</v>
      </c>
      <c r="D78" s="434" t="s">
        <v>3245</v>
      </c>
      <c r="E78" s="435" t="s">
        <v>3239</v>
      </c>
      <c r="G78" s="437" t="s">
        <v>9440</v>
      </c>
      <c r="H78" s="435"/>
      <c r="J78" s="437" t="s">
        <v>4695</v>
      </c>
      <c r="K78" s="435"/>
    </row>
    <row r="79" spans="1:11">
      <c r="A79" s="437" t="s">
        <v>1416</v>
      </c>
      <c r="B79" s="435"/>
      <c r="D79" s="437" t="s">
        <v>3246</v>
      </c>
      <c r="E79" s="435"/>
      <c r="G79" s="437" t="s">
        <v>9441</v>
      </c>
      <c r="H79" s="435"/>
      <c r="J79" s="437" t="s">
        <v>4696</v>
      </c>
      <c r="K79" s="435"/>
    </row>
    <row r="80" spans="1:11">
      <c r="A80" s="437" t="s">
        <v>1417</v>
      </c>
      <c r="B80" s="435"/>
      <c r="D80" s="437" t="s">
        <v>3247</v>
      </c>
      <c r="E80" s="435"/>
      <c r="G80" s="437" t="s">
        <v>9442</v>
      </c>
      <c r="H80" s="435"/>
      <c r="J80" s="434" t="s">
        <v>4697</v>
      </c>
      <c r="K80" s="435" t="s">
        <v>4698</v>
      </c>
    </row>
    <row r="81" spans="1:11">
      <c r="A81" s="434" t="s">
        <v>1418</v>
      </c>
      <c r="B81" s="435" t="s">
        <v>1419</v>
      </c>
      <c r="D81" s="437" t="s">
        <v>3248</v>
      </c>
      <c r="E81" s="435"/>
      <c r="G81" s="434" t="s">
        <v>9443</v>
      </c>
      <c r="H81" s="435" t="s">
        <v>9444</v>
      </c>
      <c r="J81" s="434" t="s">
        <v>4699</v>
      </c>
      <c r="K81" s="435" t="s">
        <v>4700</v>
      </c>
    </row>
    <row r="82" spans="1:11">
      <c r="A82" s="437" t="s">
        <v>1420</v>
      </c>
      <c r="B82" s="435"/>
      <c r="D82" s="434" t="s">
        <v>3249</v>
      </c>
      <c r="E82" s="435" t="s">
        <v>3250</v>
      </c>
      <c r="G82" s="434" t="s">
        <v>9445</v>
      </c>
      <c r="H82" s="435" t="s">
        <v>9444</v>
      </c>
      <c r="J82" s="437" t="s">
        <v>4701</v>
      </c>
      <c r="K82" s="435"/>
    </row>
    <row r="83" spans="1:11">
      <c r="A83" s="437" t="s">
        <v>1420</v>
      </c>
      <c r="B83" s="435"/>
      <c r="D83" s="437" t="s">
        <v>3251</v>
      </c>
      <c r="E83" s="435"/>
      <c r="G83" s="437" t="s">
        <v>9446</v>
      </c>
      <c r="H83" s="435"/>
      <c r="J83" s="434" t="s">
        <v>4702</v>
      </c>
      <c r="K83" s="435" t="s">
        <v>4703</v>
      </c>
    </row>
    <row r="84" spans="1:11">
      <c r="A84" s="437" t="s">
        <v>1421</v>
      </c>
      <c r="B84" s="435"/>
      <c r="D84" s="437" t="s">
        <v>3252</v>
      </c>
      <c r="E84" s="435"/>
      <c r="G84" s="437" t="s">
        <v>9447</v>
      </c>
      <c r="H84" s="435"/>
      <c r="J84" s="434" t="s">
        <v>4704</v>
      </c>
      <c r="K84" s="435" t="s">
        <v>4703</v>
      </c>
    </row>
    <row r="85" spans="1:11">
      <c r="A85" s="437" t="s">
        <v>1422</v>
      </c>
      <c r="B85" s="435"/>
      <c r="D85" s="437" t="s">
        <v>3253</v>
      </c>
      <c r="E85" s="435"/>
      <c r="G85" s="437" t="s">
        <v>9448</v>
      </c>
      <c r="H85" s="435"/>
      <c r="J85" s="437" t="s">
        <v>4705</v>
      </c>
      <c r="K85" s="435"/>
    </row>
    <row r="86" spans="1:11">
      <c r="A86" s="434" t="s">
        <v>864</v>
      </c>
      <c r="B86" s="435" t="s">
        <v>1423</v>
      </c>
      <c r="D86" s="437" t="s">
        <v>3254</v>
      </c>
      <c r="E86" s="435"/>
      <c r="G86" s="437" t="s">
        <v>9449</v>
      </c>
      <c r="H86" s="435"/>
      <c r="J86" s="437" t="s">
        <v>4706</v>
      </c>
      <c r="K86" s="435"/>
    </row>
    <row r="87" spans="1:11">
      <c r="A87" s="437" t="s">
        <v>1424</v>
      </c>
      <c r="B87" s="435"/>
      <c r="D87" s="437" t="s">
        <v>3255</v>
      </c>
      <c r="E87" s="435"/>
      <c r="G87" s="434" t="s">
        <v>9432</v>
      </c>
      <c r="H87" s="435" t="s">
        <v>9450</v>
      </c>
      <c r="J87" s="437" t="s">
        <v>4707</v>
      </c>
      <c r="K87" s="435"/>
    </row>
    <row r="88" spans="1:11">
      <c r="A88" s="437" t="s">
        <v>1425</v>
      </c>
      <c r="B88" s="435"/>
      <c r="D88" s="434" t="s">
        <v>3256</v>
      </c>
      <c r="E88" s="435" t="s">
        <v>3257</v>
      </c>
      <c r="G88" s="437" t="s">
        <v>9451</v>
      </c>
      <c r="H88" s="435"/>
      <c r="J88" s="437" t="s">
        <v>4708</v>
      </c>
      <c r="K88" s="435"/>
    </row>
    <row r="89" spans="1:11">
      <c r="A89" s="437" t="s">
        <v>1426</v>
      </c>
      <c r="B89" s="435"/>
      <c r="D89" s="437" t="s">
        <v>3258</v>
      </c>
      <c r="E89" s="435"/>
      <c r="G89" s="434" t="s">
        <v>3409</v>
      </c>
      <c r="H89" s="435" t="s">
        <v>3410</v>
      </c>
      <c r="J89" s="437" t="s">
        <v>4709</v>
      </c>
      <c r="K89" s="435"/>
    </row>
    <row r="90" spans="1:11">
      <c r="A90" s="437" t="s">
        <v>1427</v>
      </c>
      <c r="B90" s="435"/>
      <c r="D90" s="434" t="s">
        <v>785</v>
      </c>
      <c r="E90" s="435" t="s">
        <v>3259</v>
      </c>
      <c r="G90" s="437" t="s">
        <v>3411</v>
      </c>
      <c r="H90" s="435"/>
      <c r="J90" s="434" t="s">
        <v>4710</v>
      </c>
      <c r="K90" s="435" t="s">
        <v>4711</v>
      </c>
    </row>
    <row r="91" spans="1:11">
      <c r="A91" s="434" t="s">
        <v>19</v>
      </c>
      <c r="B91" s="435" t="s">
        <v>1428</v>
      </c>
      <c r="D91" s="434" t="s">
        <v>3260</v>
      </c>
      <c r="E91" s="435" t="s">
        <v>3259</v>
      </c>
      <c r="G91" s="437" t="s">
        <v>3412</v>
      </c>
      <c r="H91" s="435"/>
      <c r="J91" s="434" t="s">
        <v>4718</v>
      </c>
      <c r="K91" s="435" t="s">
        <v>4719</v>
      </c>
    </row>
    <row r="92" spans="1:11">
      <c r="A92" s="434" t="s">
        <v>1429</v>
      </c>
      <c r="B92" s="435" t="s">
        <v>1428</v>
      </c>
      <c r="D92" s="437" t="s">
        <v>3261</v>
      </c>
      <c r="E92" s="435"/>
      <c r="G92" s="434" t="s">
        <v>9452</v>
      </c>
      <c r="H92" s="435" t="s">
        <v>9453</v>
      </c>
      <c r="J92" s="437" t="s">
        <v>4720</v>
      </c>
      <c r="K92" s="435"/>
    </row>
    <row r="93" spans="1:11">
      <c r="A93" s="437" t="s">
        <v>1430</v>
      </c>
      <c r="B93" s="435"/>
      <c r="D93" s="437" t="s">
        <v>3262</v>
      </c>
      <c r="E93" s="435"/>
      <c r="G93" s="437" t="s">
        <v>9454</v>
      </c>
      <c r="H93" s="435"/>
      <c r="J93" s="437" t="s">
        <v>4721</v>
      </c>
      <c r="K93" s="435"/>
    </row>
    <row r="94" spans="1:11">
      <c r="A94" s="437" t="s">
        <v>1431</v>
      </c>
      <c r="B94" s="435"/>
      <c r="D94" s="437" t="s">
        <v>3263</v>
      </c>
      <c r="E94" s="435"/>
      <c r="G94" s="434" t="s">
        <v>9455</v>
      </c>
      <c r="H94" s="435" t="s">
        <v>9456</v>
      </c>
      <c r="J94" s="437" t="s">
        <v>4722</v>
      </c>
      <c r="K94" s="435"/>
    </row>
    <row r="95" spans="1:11">
      <c r="A95" s="437" t="s">
        <v>1432</v>
      </c>
      <c r="B95" s="435"/>
      <c r="D95" s="437" t="s">
        <v>3264</v>
      </c>
      <c r="E95" s="435"/>
      <c r="G95" s="437" t="s">
        <v>9457</v>
      </c>
      <c r="H95" s="435"/>
      <c r="J95" s="434" t="s">
        <v>4921</v>
      </c>
      <c r="K95" s="435" t="s">
        <v>4922</v>
      </c>
    </row>
    <row r="96" spans="1:11">
      <c r="A96" s="434" t="s">
        <v>1433</v>
      </c>
      <c r="B96" s="435" t="s">
        <v>1434</v>
      </c>
      <c r="D96" s="434" t="s">
        <v>3265</v>
      </c>
      <c r="E96" s="435" t="s">
        <v>3259</v>
      </c>
      <c r="G96" s="437" t="s">
        <v>9458</v>
      </c>
      <c r="H96" s="435"/>
      <c r="J96" s="437" t="s">
        <v>4923</v>
      </c>
      <c r="K96" s="435"/>
    </row>
    <row r="97" spans="1:11">
      <c r="A97" s="437" t="s">
        <v>1435</v>
      </c>
      <c r="B97" s="435"/>
      <c r="D97" s="437" t="s">
        <v>3266</v>
      </c>
      <c r="E97" s="435"/>
      <c r="G97" s="437" t="s">
        <v>9459</v>
      </c>
      <c r="H97" s="435"/>
      <c r="J97" s="437" t="s">
        <v>4924</v>
      </c>
      <c r="K97" s="435"/>
    </row>
    <row r="98" spans="1:11">
      <c r="A98" s="437" t="s">
        <v>1436</v>
      </c>
      <c r="B98" s="435"/>
      <c r="D98" s="437" t="s">
        <v>3267</v>
      </c>
      <c r="E98" s="435"/>
      <c r="G98" s="437" t="s">
        <v>9460</v>
      </c>
      <c r="H98" s="435"/>
      <c r="J98" s="437" t="s">
        <v>4925</v>
      </c>
      <c r="K98" s="435"/>
    </row>
    <row r="99" spans="1:11">
      <c r="A99" s="437" t="s">
        <v>1437</v>
      </c>
      <c r="B99" s="435"/>
      <c r="D99" s="434" t="s">
        <v>786</v>
      </c>
      <c r="E99" s="435" t="s">
        <v>3268</v>
      </c>
      <c r="G99" s="437" t="s">
        <v>9461</v>
      </c>
      <c r="H99" s="435"/>
      <c r="J99" s="434" t="s">
        <v>4926</v>
      </c>
      <c r="K99" s="435" t="s">
        <v>4927</v>
      </c>
    </row>
    <row r="100" spans="1:11">
      <c r="A100" s="437" t="s">
        <v>1438</v>
      </c>
      <c r="B100" s="435"/>
      <c r="D100" s="437" t="s">
        <v>3269</v>
      </c>
      <c r="E100" s="435"/>
      <c r="G100" s="437" t="s">
        <v>9462</v>
      </c>
      <c r="H100" s="435"/>
      <c r="J100" s="437" t="s">
        <v>4928</v>
      </c>
      <c r="K100" s="435"/>
    </row>
    <row r="101" spans="1:11">
      <c r="A101" s="434" t="s">
        <v>1439</v>
      </c>
      <c r="B101" s="435" t="s">
        <v>1440</v>
      </c>
      <c r="D101" s="434" t="s">
        <v>787</v>
      </c>
      <c r="E101" s="435" t="s">
        <v>3270</v>
      </c>
      <c r="G101" s="437" t="s">
        <v>9463</v>
      </c>
      <c r="H101" s="435"/>
      <c r="J101" s="437" t="s">
        <v>4929</v>
      </c>
      <c r="K101" s="435"/>
    </row>
    <row r="102" spans="1:11">
      <c r="A102" s="434" t="s">
        <v>20</v>
      </c>
      <c r="B102" s="435" t="s">
        <v>1441</v>
      </c>
      <c r="D102" s="434" t="s">
        <v>788</v>
      </c>
      <c r="E102" s="435" t="s">
        <v>3271</v>
      </c>
      <c r="G102" s="437" t="s">
        <v>9464</v>
      </c>
      <c r="H102" s="435"/>
      <c r="J102" s="434" t="s">
        <v>5009</v>
      </c>
      <c r="K102" s="435" t="s">
        <v>5010</v>
      </c>
    </row>
    <row r="103" spans="1:11">
      <c r="A103" s="434" t="s">
        <v>1442</v>
      </c>
      <c r="B103" s="435" t="s">
        <v>1441</v>
      </c>
      <c r="D103" s="437" t="s">
        <v>3272</v>
      </c>
      <c r="E103" s="435"/>
      <c r="G103" s="437" t="s">
        <v>9465</v>
      </c>
      <c r="H103" s="435"/>
      <c r="J103" s="437" t="s">
        <v>5011</v>
      </c>
      <c r="K103" s="435"/>
    </row>
    <row r="104" spans="1:11">
      <c r="A104" s="437" t="s">
        <v>1443</v>
      </c>
      <c r="B104" s="435"/>
      <c r="D104" s="434" t="s">
        <v>789</v>
      </c>
      <c r="E104" s="435" t="s">
        <v>3273</v>
      </c>
      <c r="G104" s="437" t="s">
        <v>9466</v>
      </c>
      <c r="H104" s="435"/>
      <c r="J104" s="437" t="s">
        <v>5012</v>
      </c>
      <c r="K104" s="435"/>
    </row>
    <row r="105" spans="1:11">
      <c r="A105" s="437" t="s">
        <v>1444</v>
      </c>
      <c r="B105" s="435"/>
      <c r="D105" s="434" t="s">
        <v>3274</v>
      </c>
      <c r="E105" s="435" t="s">
        <v>3273</v>
      </c>
      <c r="G105" s="437" t="s">
        <v>9467</v>
      </c>
      <c r="H105" s="435"/>
      <c r="J105" s="434" t="s">
        <v>5389</v>
      </c>
      <c r="K105" s="435" t="s">
        <v>5390</v>
      </c>
    </row>
    <row r="106" spans="1:11">
      <c r="A106" s="437" t="s">
        <v>1445</v>
      </c>
      <c r="B106" s="435"/>
      <c r="D106" s="437" t="s">
        <v>3275</v>
      </c>
      <c r="E106" s="435"/>
      <c r="G106" s="437" t="s">
        <v>9468</v>
      </c>
      <c r="H106" s="435"/>
      <c r="J106" s="437" t="s">
        <v>5391</v>
      </c>
      <c r="K106" s="435"/>
    </row>
    <row r="107" spans="1:11">
      <c r="A107" s="437" t="s">
        <v>1446</v>
      </c>
      <c r="B107" s="435"/>
      <c r="D107" s="437" t="s">
        <v>3276</v>
      </c>
      <c r="E107" s="435"/>
      <c r="G107" s="437" t="s">
        <v>9469</v>
      </c>
      <c r="H107" s="435"/>
      <c r="J107" s="437" t="s">
        <v>5392</v>
      </c>
      <c r="K107" s="435"/>
    </row>
    <row r="108" spans="1:11">
      <c r="A108" s="437" t="s">
        <v>1447</v>
      </c>
      <c r="B108" s="435"/>
      <c r="D108" s="437" t="s">
        <v>3277</v>
      </c>
      <c r="E108" s="435"/>
      <c r="G108" s="437" t="s">
        <v>9470</v>
      </c>
      <c r="H108" s="435"/>
      <c r="J108" s="437" t="s">
        <v>5393</v>
      </c>
      <c r="K108" s="435"/>
    </row>
    <row r="109" spans="1:11">
      <c r="A109" s="437" t="s">
        <v>1448</v>
      </c>
      <c r="B109" s="435"/>
      <c r="D109" s="437" t="s">
        <v>3278</v>
      </c>
      <c r="E109" s="435"/>
      <c r="G109" s="437" t="s">
        <v>9471</v>
      </c>
      <c r="H109" s="435"/>
      <c r="J109" s="437" t="s">
        <v>5394</v>
      </c>
      <c r="K109" s="435"/>
    </row>
    <row r="110" spans="1:11">
      <c r="A110" s="437" t="s">
        <v>1449</v>
      </c>
      <c r="B110" s="435"/>
      <c r="D110" s="437" t="s">
        <v>3279</v>
      </c>
      <c r="E110" s="435"/>
      <c r="G110" s="437" t="s">
        <v>9472</v>
      </c>
      <c r="H110" s="435"/>
      <c r="J110" s="437" t="s">
        <v>5395</v>
      </c>
      <c r="K110" s="435"/>
    </row>
    <row r="111" spans="1:11">
      <c r="A111" s="434" t="s">
        <v>1450</v>
      </c>
      <c r="B111" s="435" t="s">
        <v>1451</v>
      </c>
      <c r="D111" s="437" t="s">
        <v>3280</v>
      </c>
      <c r="E111" s="435"/>
      <c r="G111" s="434" t="s">
        <v>9473</v>
      </c>
      <c r="H111" s="435" t="s">
        <v>9474</v>
      </c>
      <c r="J111" s="437" t="s">
        <v>5396</v>
      </c>
      <c r="K111" s="435"/>
    </row>
    <row r="112" spans="1:11">
      <c r="A112" s="434" t="s">
        <v>21</v>
      </c>
      <c r="B112" s="435" t="s">
        <v>1452</v>
      </c>
      <c r="D112" s="434" t="s">
        <v>3281</v>
      </c>
      <c r="E112" s="435" t="s">
        <v>3282</v>
      </c>
      <c r="G112" s="434" t="s">
        <v>3661</v>
      </c>
      <c r="H112" s="435" t="s">
        <v>3662</v>
      </c>
      <c r="J112" s="437" t="s">
        <v>5397</v>
      </c>
      <c r="K112" s="435"/>
    </row>
    <row r="113" spans="1:11">
      <c r="A113" s="437" t="s">
        <v>1453</v>
      </c>
      <c r="B113" s="435"/>
      <c r="D113" s="434" t="s">
        <v>3283</v>
      </c>
      <c r="E113" s="435" t="s">
        <v>3282</v>
      </c>
      <c r="G113" s="434" t="s">
        <v>590</v>
      </c>
      <c r="H113" s="435" t="s">
        <v>3663</v>
      </c>
      <c r="J113" s="437" t="s">
        <v>5398</v>
      </c>
      <c r="K113" s="435"/>
    </row>
    <row r="114" spans="1:11">
      <c r="A114" s="437" t="s">
        <v>1454</v>
      </c>
      <c r="B114" s="435"/>
      <c r="D114" s="437" t="s">
        <v>3284</v>
      </c>
      <c r="E114" s="435"/>
      <c r="G114" s="434" t="s">
        <v>3664</v>
      </c>
      <c r="H114" s="435" t="s">
        <v>3663</v>
      </c>
      <c r="J114" s="437" t="s">
        <v>5399</v>
      </c>
      <c r="K114" s="435"/>
    </row>
    <row r="115" spans="1:11">
      <c r="A115" s="437" t="s">
        <v>1454</v>
      </c>
      <c r="B115" s="435"/>
      <c r="D115" s="437" t="s">
        <v>3285</v>
      </c>
      <c r="E115" s="435"/>
      <c r="G115" s="434" t="s">
        <v>9475</v>
      </c>
      <c r="H115" s="435" t="s">
        <v>9476</v>
      </c>
      <c r="J115" s="437" t="s">
        <v>5399</v>
      </c>
      <c r="K115" s="435"/>
    </row>
    <row r="116" spans="1:11">
      <c r="A116" s="434" t="s">
        <v>1455</v>
      </c>
      <c r="B116" s="435" t="s">
        <v>1456</v>
      </c>
      <c r="D116" s="434" t="s">
        <v>3286</v>
      </c>
      <c r="E116" s="435" t="s">
        <v>3287</v>
      </c>
      <c r="G116" s="437" t="s">
        <v>9477</v>
      </c>
      <c r="H116" s="435"/>
      <c r="J116" s="437" t="s">
        <v>5400</v>
      </c>
      <c r="K116" s="435"/>
    </row>
    <row r="117" spans="1:11">
      <c r="A117" s="437" t="s">
        <v>1457</v>
      </c>
      <c r="B117" s="435"/>
      <c r="D117" s="434" t="s">
        <v>3288</v>
      </c>
      <c r="E117" s="435" t="s">
        <v>3289</v>
      </c>
      <c r="G117" s="437" t="s">
        <v>9478</v>
      </c>
      <c r="H117" s="435"/>
      <c r="J117" s="434" t="s">
        <v>5437</v>
      </c>
      <c r="K117" s="435" t="s">
        <v>5438</v>
      </c>
    </row>
    <row r="118" spans="1:11">
      <c r="A118" s="437" t="s">
        <v>1454</v>
      </c>
      <c r="B118" s="435"/>
      <c r="D118" s="434" t="s">
        <v>3290</v>
      </c>
      <c r="E118" s="435" t="s">
        <v>3291</v>
      </c>
      <c r="G118" s="437" t="s">
        <v>9479</v>
      </c>
      <c r="H118" s="435"/>
      <c r="J118" s="434" t="s">
        <v>5439</v>
      </c>
      <c r="K118" s="435" t="s">
        <v>5438</v>
      </c>
    </row>
    <row r="119" spans="1:11">
      <c r="A119" s="434" t="s">
        <v>1458</v>
      </c>
      <c r="B119" s="435" t="s">
        <v>1459</v>
      </c>
      <c r="D119" s="437" t="s">
        <v>3292</v>
      </c>
      <c r="E119" s="435"/>
      <c r="G119" s="437" t="s">
        <v>9480</v>
      </c>
      <c r="H119" s="435"/>
      <c r="J119" s="437" t="s">
        <v>5440</v>
      </c>
      <c r="K119" s="435"/>
    </row>
    <row r="120" spans="1:11">
      <c r="A120" s="437" t="s">
        <v>1460</v>
      </c>
      <c r="B120" s="435"/>
      <c r="D120" s="437" t="s">
        <v>3293</v>
      </c>
      <c r="E120" s="435"/>
      <c r="G120" s="437" t="s">
        <v>9481</v>
      </c>
      <c r="H120" s="435"/>
      <c r="J120" s="434" t="s">
        <v>5441</v>
      </c>
      <c r="K120" s="435" t="s">
        <v>5442</v>
      </c>
    </row>
    <row r="121" spans="1:11">
      <c r="A121" s="437" t="s">
        <v>1461</v>
      </c>
      <c r="B121" s="435"/>
      <c r="D121" s="434" t="s">
        <v>3294</v>
      </c>
      <c r="E121" s="435" t="s">
        <v>3295</v>
      </c>
      <c r="G121" s="437" t="s">
        <v>9482</v>
      </c>
      <c r="H121" s="435"/>
      <c r="J121" s="437" t="s">
        <v>5443</v>
      </c>
      <c r="K121" s="435"/>
    </row>
    <row r="122" spans="1:11">
      <c r="A122" s="437" t="s">
        <v>1462</v>
      </c>
      <c r="B122" s="435"/>
      <c r="D122" s="434" t="s">
        <v>3296</v>
      </c>
      <c r="E122" s="435" t="s">
        <v>3297</v>
      </c>
      <c r="G122" s="437" t="s">
        <v>9483</v>
      </c>
      <c r="H122" s="435"/>
      <c r="J122" s="437" t="s">
        <v>5444</v>
      </c>
      <c r="K122" s="435"/>
    </row>
    <row r="123" spans="1:11">
      <c r="A123" s="437" t="s">
        <v>1463</v>
      </c>
      <c r="B123" s="435"/>
      <c r="D123" s="437" t="s">
        <v>3298</v>
      </c>
      <c r="E123" s="435"/>
      <c r="G123" s="437" t="s">
        <v>9484</v>
      </c>
      <c r="H123" s="435"/>
      <c r="J123" s="437" t="s">
        <v>5445</v>
      </c>
      <c r="K123" s="435"/>
    </row>
    <row r="124" spans="1:11">
      <c r="A124" s="437" t="s">
        <v>1464</v>
      </c>
      <c r="B124" s="435"/>
      <c r="D124" s="437" t="s">
        <v>3299</v>
      </c>
      <c r="E124" s="435"/>
      <c r="G124" s="437" t="s">
        <v>9485</v>
      </c>
      <c r="H124" s="435"/>
      <c r="J124" s="437" t="s">
        <v>5446</v>
      </c>
      <c r="K124" s="435"/>
    </row>
    <row r="125" spans="1:11">
      <c r="A125" s="437" t="s">
        <v>1465</v>
      </c>
      <c r="B125" s="435"/>
      <c r="D125" s="437" t="s">
        <v>3300</v>
      </c>
      <c r="E125" s="435"/>
      <c r="G125" s="437" t="s">
        <v>9486</v>
      </c>
      <c r="H125" s="435"/>
      <c r="J125" s="434" t="s">
        <v>5844</v>
      </c>
      <c r="K125" s="435" t="s">
        <v>5845</v>
      </c>
    </row>
    <row r="126" spans="1:11">
      <c r="A126" s="437" t="s">
        <v>1466</v>
      </c>
      <c r="B126" s="435"/>
      <c r="D126" s="437" t="s">
        <v>3301</v>
      </c>
      <c r="E126" s="435"/>
      <c r="G126" s="437" t="s">
        <v>9487</v>
      </c>
      <c r="H126" s="435"/>
      <c r="J126" s="434" t="s">
        <v>5846</v>
      </c>
      <c r="K126" s="435" t="s">
        <v>5845</v>
      </c>
    </row>
    <row r="127" spans="1:11">
      <c r="A127" s="437" t="s">
        <v>1466</v>
      </c>
      <c r="B127" s="435"/>
      <c r="D127" s="437" t="s">
        <v>3302</v>
      </c>
      <c r="E127" s="435"/>
      <c r="G127" s="437" t="s">
        <v>9488</v>
      </c>
      <c r="H127" s="435"/>
      <c r="J127" s="437" t="s">
        <v>5847</v>
      </c>
      <c r="K127" s="435"/>
    </row>
    <row r="128" spans="1:11">
      <c r="A128" s="434" t="s">
        <v>1467</v>
      </c>
      <c r="B128" s="435" t="s">
        <v>1468</v>
      </c>
      <c r="D128" s="437" t="s">
        <v>3303</v>
      </c>
      <c r="E128" s="435"/>
      <c r="G128" s="437" t="s">
        <v>9489</v>
      </c>
      <c r="H128" s="435"/>
      <c r="J128" s="437" t="s">
        <v>5848</v>
      </c>
      <c r="K128" s="435"/>
    </row>
    <row r="129" spans="1:11">
      <c r="A129" s="437" t="s">
        <v>1469</v>
      </c>
      <c r="B129" s="435"/>
      <c r="D129" s="434" t="s">
        <v>3304</v>
      </c>
      <c r="E129" s="435" t="s">
        <v>3305</v>
      </c>
      <c r="G129" s="437" t="s">
        <v>9490</v>
      </c>
      <c r="H129" s="435"/>
      <c r="J129" s="434" t="s">
        <v>5849</v>
      </c>
      <c r="K129" s="435" t="s">
        <v>5845</v>
      </c>
    </row>
    <row r="130" spans="1:11">
      <c r="A130" s="434" t="s">
        <v>22</v>
      </c>
      <c r="B130" s="435" t="s">
        <v>1470</v>
      </c>
      <c r="D130" s="437" t="s">
        <v>3306</v>
      </c>
      <c r="E130" s="435"/>
      <c r="G130" s="434" t="s">
        <v>3732</v>
      </c>
      <c r="H130" s="435" t="s">
        <v>3733</v>
      </c>
      <c r="J130" s="434" t="s">
        <v>5938</v>
      </c>
      <c r="K130" s="435" t="s">
        <v>5939</v>
      </c>
    </row>
    <row r="131" spans="1:11">
      <c r="A131" s="437" t="s">
        <v>1471</v>
      </c>
      <c r="B131" s="435"/>
      <c r="D131" s="437" t="s">
        <v>3307</v>
      </c>
      <c r="E131" s="435"/>
      <c r="G131" s="437" t="s">
        <v>3734</v>
      </c>
      <c r="H131" s="435"/>
      <c r="J131" s="434" t="s">
        <v>5940</v>
      </c>
      <c r="K131" s="435" t="s">
        <v>5941</v>
      </c>
    </row>
    <row r="132" spans="1:11">
      <c r="A132" s="437" t="s">
        <v>1472</v>
      </c>
      <c r="B132" s="435"/>
      <c r="D132" s="434" t="s">
        <v>3308</v>
      </c>
      <c r="E132" s="435" t="s">
        <v>3309</v>
      </c>
      <c r="G132" s="437" t="s">
        <v>3735</v>
      </c>
      <c r="H132" s="435"/>
      <c r="J132" s="437" t="s">
        <v>5942</v>
      </c>
      <c r="K132" s="435"/>
    </row>
    <row r="133" spans="1:11">
      <c r="A133" s="437" t="s">
        <v>1473</v>
      </c>
      <c r="B133" s="435"/>
      <c r="D133" s="437" t="s">
        <v>3310</v>
      </c>
      <c r="E133" s="435"/>
      <c r="G133" s="437" t="s">
        <v>3736</v>
      </c>
      <c r="H133" s="435"/>
      <c r="J133" s="437" t="s">
        <v>5943</v>
      </c>
      <c r="K133" s="435"/>
    </row>
    <row r="134" spans="1:11">
      <c r="A134" s="437" t="s">
        <v>1454</v>
      </c>
      <c r="B134" s="435"/>
      <c r="D134" s="437" t="s">
        <v>3311</v>
      </c>
      <c r="E134" s="435"/>
      <c r="G134" s="437" t="s">
        <v>3737</v>
      </c>
      <c r="H134" s="435"/>
      <c r="J134" s="437" t="s">
        <v>5944</v>
      </c>
      <c r="K134" s="435"/>
    </row>
    <row r="135" spans="1:11">
      <c r="A135" s="437" t="s">
        <v>1474</v>
      </c>
      <c r="B135" s="435"/>
      <c r="D135" s="437" t="s">
        <v>3312</v>
      </c>
      <c r="E135" s="435"/>
      <c r="G135" s="437" t="s">
        <v>3738</v>
      </c>
      <c r="H135" s="435"/>
      <c r="J135" s="437" t="s">
        <v>5945</v>
      </c>
      <c r="K135" s="435"/>
    </row>
    <row r="136" spans="1:11">
      <c r="A136" s="434" t="s">
        <v>1475</v>
      </c>
      <c r="B136" s="435" t="s">
        <v>1476</v>
      </c>
      <c r="D136" s="437" t="s">
        <v>3313</v>
      </c>
      <c r="E136" s="435"/>
      <c r="G136" s="437" t="s">
        <v>3739</v>
      </c>
      <c r="H136" s="435"/>
      <c r="J136" s="437" t="s">
        <v>5946</v>
      </c>
      <c r="K136" s="435"/>
    </row>
    <row r="137" spans="1:11">
      <c r="A137" s="434" t="s">
        <v>1477</v>
      </c>
      <c r="B137" s="435" t="s">
        <v>1476</v>
      </c>
      <c r="D137" s="434" t="s">
        <v>3314</v>
      </c>
      <c r="E137" s="435" t="s">
        <v>3315</v>
      </c>
      <c r="G137" s="437" t="s">
        <v>3740</v>
      </c>
      <c r="H137" s="435"/>
      <c r="J137" s="437" t="s">
        <v>5947</v>
      </c>
      <c r="K137" s="435"/>
    </row>
    <row r="138" spans="1:11">
      <c r="A138" s="437" t="s">
        <v>1478</v>
      </c>
      <c r="B138" s="435"/>
      <c r="D138" s="437" t="s">
        <v>3316</v>
      </c>
      <c r="E138" s="435"/>
      <c r="G138" s="437" t="s">
        <v>3741</v>
      </c>
      <c r="H138" s="435"/>
      <c r="J138" s="437" t="s">
        <v>5948</v>
      </c>
      <c r="K138" s="435"/>
    </row>
    <row r="139" spans="1:11">
      <c r="A139" s="437" t="s">
        <v>1479</v>
      </c>
      <c r="B139" s="435"/>
      <c r="D139" s="434" t="s">
        <v>790</v>
      </c>
      <c r="E139" s="435" t="s">
        <v>3317</v>
      </c>
      <c r="G139" s="437" t="s">
        <v>3742</v>
      </c>
      <c r="H139" s="435"/>
      <c r="J139" s="434" t="s">
        <v>5949</v>
      </c>
      <c r="K139" s="435" t="s">
        <v>5950</v>
      </c>
    </row>
    <row r="140" spans="1:11">
      <c r="A140" s="437" t="s">
        <v>1480</v>
      </c>
      <c r="B140" s="435"/>
      <c r="D140" s="434" t="s">
        <v>3318</v>
      </c>
      <c r="E140" s="435" t="s">
        <v>3317</v>
      </c>
      <c r="G140" s="434" t="s">
        <v>9491</v>
      </c>
      <c r="H140" s="435" t="s">
        <v>9492</v>
      </c>
      <c r="J140" s="434" t="s">
        <v>5951</v>
      </c>
      <c r="K140" s="435" t="s">
        <v>5952</v>
      </c>
    </row>
    <row r="141" spans="1:11">
      <c r="A141" s="437" t="s">
        <v>1481</v>
      </c>
      <c r="B141" s="435"/>
      <c r="D141" s="437" t="s">
        <v>3319</v>
      </c>
      <c r="E141" s="435"/>
      <c r="G141" s="434" t="s">
        <v>1079</v>
      </c>
      <c r="H141" s="435" t="s">
        <v>3743</v>
      </c>
      <c r="J141" s="437" t="s">
        <v>5953</v>
      </c>
      <c r="K141" s="435"/>
    </row>
    <row r="142" spans="1:11">
      <c r="A142" s="437" t="s">
        <v>1482</v>
      </c>
      <c r="B142" s="435"/>
      <c r="D142" s="437" t="s">
        <v>3320</v>
      </c>
      <c r="E142" s="435"/>
      <c r="G142" s="434" t="s">
        <v>3744</v>
      </c>
      <c r="H142" s="435" t="s">
        <v>3743</v>
      </c>
      <c r="J142" s="434" t="s">
        <v>6043</v>
      </c>
      <c r="K142" s="435" t="s">
        <v>6044</v>
      </c>
    </row>
    <row r="143" spans="1:11">
      <c r="A143" s="434" t="s">
        <v>23</v>
      </c>
      <c r="B143" s="435" t="s">
        <v>1483</v>
      </c>
      <c r="D143" s="437" t="s">
        <v>3321</v>
      </c>
      <c r="E143" s="435"/>
      <c r="G143" s="437" t="s">
        <v>3745</v>
      </c>
      <c r="H143" s="435"/>
      <c r="J143" s="434" t="s">
        <v>6045</v>
      </c>
      <c r="K143" s="435" t="s">
        <v>6046</v>
      </c>
    </row>
    <row r="144" spans="1:11">
      <c r="A144" s="434" t="s">
        <v>1484</v>
      </c>
      <c r="B144" s="435" t="s">
        <v>1483</v>
      </c>
      <c r="D144" s="437" t="s">
        <v>3322</v>
      </c>
      <c r="E144" s="435"/>
      <c r="G144" s="437" t="s">
        <v>3746</v>
      </c>
      <c r="H144" s="435"/>
      <c r="J144" s="437" t="s">
        <v>6047</v>
      </c>
      <c r="K144" s="435"/>
    </row>
    <row r="145" spans="1:11">
      <c r="A145" s="437" t="s">
        <v>1485</v>
      </c>
      <c r="B145" s="435"/>
      <c r="D145" s="434" t="s">
        <v>3323</v>
      </c>
      <c r="E145" s="435" t="s">
        <v>3317</v>
      </c>
      <c r="G145" s="437" t="s">
        <v>3747</v>
      </c>
      <c r="H145" s="435"/>
      <c r="J145" s="437" t="s">
        <v>6048</v>
      </c>
      <c r="K145" s="435"/>
    </row>
    <row r="146" spans="1:11">
      <c r="A146" s="437" t="s">
        <v>1486</v>
      </c>
      <c r="B146" s="435"/>
      <c r="D146" s="437" t="s">
        <v>3324</v>
      </c>
      <c r="E146" s="435"/>
      <c r="G146" s="437" t="s">
        <v>3748</v>
      </c>
      <c r="H146" s="435"/>
      <c r="J146" s="437" t="s">
        <v>6049</v>
      </c>
      <c r="K146" s="435"/>
    </row>
    <row r="147" spans="1:11">
      <c r="A147" s="437" t="s">
        <v>1487</v>
      </c>
      <c r="B147" s="435"/>
      <c r="D147" s="437" t="s">
        <v>3325</v>
      </c>
      <c r="E147" s="435"/>
      <c r="G147" s="437" t="s">
        <v>3749</v>
      </c>
      <c r="H147" s="435"/>
      <c r="J147" s="437" t="s">
        <v>6050</v>
      </c>
      <c r="K147" s="435"/>
    </row>
    <row r="148" spans="1:11">
      <c r="A148" s="437" t="s">
        <v>1488</v>
      </c>
      <c r="B148" s="435"/>
      <c r="D148" s="434" t="s">
        <v>3326</v>
      </c>
      <c r="E148" s="435" t="s">
        <v>3317</v>
      </c>
      <c r="G148" s="437" t="s">
        <v>3750</v>
      </c>
      <c r="H148" s="435"/>
      <c r="J148" s="437" t="s">
        <v>6051</v>
      </c>
      <c r="K148" s="435"/>
    </row>
    <row r="149" spans="1:11">
      <c r="A149" s="437" t="s">
        <v>1489</v>
      </c>
      <c r="B149" s="435"/>
      <c r="D149" s="437" t="s">
        <v>3327</v>
      </c>
      <c r="E149" s="435"/>
      <c r="G149" s="437" t="s">
        <v>3751</v>
      </c>
      <c r="H149" s="435"/>
      <c r="J149" s="437" t="s">
        <v>6052</v>
      </c>
      <c r="K149" s="435"/>
    </row>
    <row r="150" spans="1:11">
      <c r="A150" s="437" t="s">
        <v>1490</v>
      </c>
      <c r="B150" s="435"/>
      <c r="D150" s="437" t="s">
        <v>3328</v>
      </c>
      <c r="E150" s="435"/>
      <c r="G150" s="437" t="s">
        <v>3752</v>
      </c>
      <c r="H150" s="435"/>
      <c r="J150" s="437" t="s">
        <v>6053</v>
      </c>
      <c r="K150" s="435"/>
    </row>
    <row r="151" spans="1:11">
      <c r="A151" s="437" t="s">
        <v>1491</v>
      </c>
      <c r="B151" s="435"/>
      <c r="D151" s="437" t="s">
        <v>3329</v>
      </c>
      <c r="E151" s="435"/>
      <c r="G151" s="437" t="s">
        <v>3753</v>
      </c>
      <c r="H151" s="435"/>
      <c r="J151" s="437" t="s">
        <v>6054</v>
      </c>
      <c r="K151" s="435"/>
    </row>
    <row r="152" spans="1:11">
      <c r="A152" s="437" t="s">
        <v>1492</v>
      </c>
      <c r="B152" s="435"/>
      <c r="D152" s="437" t="s">
        <v>3330</v>
      </c>
      <c r="E152" s="435"/>
      <c r="G152" s="437" t="s">
        <v>3754</v>
      </c>
      <c r="H152" s="435"/>
      <c r="J152" s="437" t="s">
        <v>6055</v>
      </c>
      <c r="K152" s="435"/>
    </row>
    <row r="153" spans="1:11">
      <c r="A153" s="437" t="s">
        <v>1493</v>
      </c>
      <c r="B153" s="435"/>
      <c r="D153" s="437" t="s">
        <v>3331</v>
      </c>
      <c r="E153" s="435"/>
      <c r="G153" s="437" t="s">
        <v>3755</v>
      </c>
      <c r="H153" s="435"/>
      <c r="J153" s="434" t="s">
        <v>6056</v>
      </c>
      <c r="K153" s="435" t="s">
        <v>6057</v>
      </c>
    </row>
    <row r="154" spans="1:11">
      <c r="A154" s="437" t="s">
        <v>1494</v>
      </c>
      <c r="B154" s="435"/>
      <c r="D154" s="437" t="s">
        <v>3332</v>
      </c>
      <c r="E154" s="435"/>
      <c r="G154" s="437" t="s">
        <v>3756</v>
      </c>
      <c r="H154" s="435"/>
      <c r="J154" s="437" t="s">
        <v>6058</v>
      </c>
      <c r="K154" s="435"/>
    </row>
    <row r="155" spans="1:11">
      <c r="A155" s="437" t="s">
        <v>1495</v>
      </c>
      <c r="B155" s="435"/>
      <c r="D155" s="434" t="s">
        <v>3333</v>
      </c>
      <c r="E155" s="435" t="s">
        <v>3334</v>
      </c>
      <c r="G155" s="437" t="s">
        <v>3757</v>
      </c>
      <c r="H155" s="435"/>
      <c r="J155" s="437" t="s">
        <v>6059</v>
      </c>
      <c r="K155" s="435"/>
    </row>
    <row r="156" spans="1:11">
      <c r="A156" s="434" t="s">
        <v>1496</v>
      </c>
      <c r="B156" s="435" t="s">
        <v>1497</v>
      </c>
      <c r="D156" s="434" t="s">
        <v>3335</v>
      </c>
      <c r="E156" s="435" t="s">
        <v>3334</v>
      </c>
      <c r="G156" s="434" t="s">
        <v>3760</v>
      </c>
      <c r="H156" s="435" t="s">
        <v>3761</v>
      </c>
      <c r="J156" s="437" t="s">
        <v>6060</v>
      </c>
      <c r="K156" s="435"/>
    </row>
    <row r="157" spans="1:11">
      <c r="A157" s="437" t="s">
        <v>1498</v>
      </c>
      <c r="B157" s="435"/>
      <c r="D157" s="434" t="s">
        <v>3336</v>
      </c>
      <c r="E157" s="435" t="s">
        <v>3337</v>
      </c>
      <c r="G157" s="434" t="s">
        <v>3803</v>
      </c>
      <c r="H157" s="435" t="s">
        <v>3804</v>
      </c>
      <c r="J157" s="437" t="s">
        <v>6061</v>
      </c>
      <c r="K157" s="435"/>
    </row>
    <row r="158" spans="1:11">
      <c r="A158" s="434" t="s">
        <v>1499</v>
      </c>
      <c r="B158" s="435" t="s">
        <v>1500</v>
      </c>
      <c r="D158" s="434" t="s">
        <v>3338</v>
      </c>
      <c r="E158" s="435" t="s">
        <v>3337</v>
      </c>
      <c r="G158" s="437" t="s">
        <v>3805</v>
      </c>
      <c r="H158" s="435"/>
      <c r="J158" s="437" t="s">
        <v>6062</v>
      </c>
      <c r="K158" s="435"/>
    </row>
    <row r="159" spans="1:11">
      <c r="A159" s="434" t="s">
        <v>1501</v>
      </c>
      <c r="B159" s="435" t="s">
        <v>1502</v>
      </c>
      <c r="D159" s="434" t="s">
        <v>791</v>
      </c>
      <c r="E159" s="435" t="s">
        <v>3339</v>
      </c>
      <c r="G159" s="437" t="s">
        <v>3806</v>
      </c>
      <c r="H159" s="435"/>
      <c r="J159" s="434" t="s">
        <v>11049</v>
      </c>
      <c r="K159" s="435" t="s">
        <v>11050</v>
      </c>
    </row>
    <row r="160" spans="1:11">
      <c r="A160" s="437" t="s">
        <v>1503</v>
      </c>
      <c r="B160" s="435"/>
      <c r="D160" s="434" t="s">
        <v>3340</v>
      </c>
      <c r="E160" s="435" t="s">
        <v>3341</v>
      </c>
      <c r="G160" s="434" t="s">
        <v>9493</v>
      </c>
      <c r="H160" s="435" t="s">
        <v>9494</v>
      </c>
      <c r="J160" s="437" t="s">
        <v>11051</v>
      </c>
      <c r="K160" s="435"/>
    </row>
    <row r="161" spans="1:11">
      <c r="A161" s="437" t="s">
        <v>1504</v>
      </c>
      <c r="B161" s="435"/>
      <c r="D161" s="437" t="s">
        <v>3342</v>
      </c>
      <c r="E161" s="435"/>
      <c r="G161" s="434" t="s">
        <v>3874</v>
      </c>
      <c r="H161" s="435" t="s">
        <v>3875</v>
      </c>
      <c r="J161" s="437" t="s">
        <v>11052</v>
      </c>
      <c r="K161" s="435"/>
    </row>
    <row r="162" spans="1:11">
      <c r="A162" s="437" t="s">
        <v>1505</v>
      </c>
      <c r="B162" s="435"/>
      <c r="D162" s="437" t="s">
        <v>3343</v>
      </c>
      <c r="E162" s="435"/>
      <c r="G162" s="434" t="s">
        <v>3876</v>
      </c>
      <c r="H162" s="435" t="s">
        <v>3875</v>
      </c>
      <c r="J162" s="437" t="s">
        <v>11053</v>
      </c>
      <c r="K162" s="435"/>
    </row>
    <row r="163" spans="1:11">
      <c r="A163" s="437" t="s">
        <v>1506</v>
      </c>
      <c r="B163" s="435"/>
      <c r="D163" s="437" t="s">
        <v>3344</v>
      </c>
      <c r="E163" s="435"/>
      <c r="G163" s="437" t="s">
        <v>3877</v>
      </c>
      <c r="H163" s="435"/>
      <c r="J163" s="437" t="s">
        <v>11054</v>
      </c>
      <c r="K163" s="435"/>
    </row>
    <row r="164" spans="1:11">
      <c r="A164" s="437" t="s">
        <v>1507</v>
      </c>
      <c r="B164" s="435"/>
      <c r="D164" s="437" t="s">
        <v>3345</v>
      </c>
      <c r="E164" s="435"/>
      <c r="G164" s="434" t="s">
        <v>9495</v>
      </c>
      <c r="H164" s="435" t="s">
        <v>9496</v>
      </c>
      <c r="J164" s="437" t="s">
        <v>11055</v>
      </c>
      <c r="K164" s="435"/>
    </row>
    <row r="165" spans="1:11">
      <c r="A165" s="437" t="s">
        <v>1508</v>
      </c>
      <c r="B165" s="435"/>
      <c r="D165" s="434" t="s">
        <v>792</v>
      </c>
      <c r="E165" s="435" t="s">
        <v>3346</v>
      </c>
      <c r="G165" s="434" t="s">
        <v>9497</v>
      </c>
      <c r="H165" s="435" t="s">
        <v>9496</v>
      </c>
      <c r="J165" s="434" t="s">
        <v>10024</v>
      </c>
      <c r="K165" s="435" t="s">
        <v>10025</v>
      </c>
    </row>
    <row r="166" spans="1:11">
      <c r="A166" s="437" t="s">
        <v>1509</v>
      </c>
      <c r="B166" s="435"/>
      <c r="D166" s="437" t="s">
        <v>3347</v>
      </c>
      <c r="E166" s="435"/>
      <c r="G166" s="437" t="s">
        <v>9498</v>
      </c>
      <c r="H166" s="435"/>
      <c r="J166" s="437" t="s">
        <v>10026</v>
      </c>
      <c r="K166" s="435"/>
    </row>
    <row r="167" spans="1:11">
      <c r="A167" s="437" t="s">
        <v>1510</v>
      </c>
      <c r="B167" s="435"/>
      <c r="D167" s="434" t="s">
        <v>3348</v>
      </c>
      <c r="E167" s="435" t="s">
        <v>3349</v>
      </c>
      <c r="G167" s="437" t="s">
        <v>9499</v>
      </c>
      <c r="H167" s="435"/>
      <c r="J167" s="437" t="s">
        <v>10027</v>
      </c>
      <c r="K167" s="435"/>
    </row>
    <row r="168" spans="1:11">
      <c r="A168" s="437" t="s">
        <v>1511</v>
      </c>
      <c r="B168" s="435"/>
      <c r="D168" s="437" t="s">
        <v>3350</v>
      </c>
      <c r="E168" s="435"/>
      <c r="G168" s="437" t="s">
        <v>9500</v>
      </c>
      <c r="H168" s="435"/>
      <c r="J168" s="437" t="s">
        <v>10028</v>
      </c>
      <c r="K168" s="435"/>
    </row>
    <row r="169" spans="1:11">
      <c r="A169" s="437" t="s">
        <v>1512</v>
      </c>
      <c r="B169" s="435"/>
      <c r="D169" s="434" t="s">
        <v>3351</v>
      </c>
      <c r="E169" s="435" t="s">
        <v>3352</v>
      </c>
      <c r="G169" s="434" t="s">
        <v>9501</v>
      </c>
      <c r="H169" s="435" t="s">
        <v>9502</v>
      </c>
      <c r="J169" s="434" t="s">
        <v>11056</v>
      </c>
      <c r="K169" s="435" t="s">
        <v>11057</v>
      </c>
    </row>
    <row r="170" spans="1:11">
      <c r="A170" s="437" t="s">
        <v>1513</v>
      </c>
      <c r="B170" s="435"/>
      <c r="D170" s="437" t="s">
        <v>3353</v>
      </c>
      <c r="E170" s="435"/>
      <c r="G170" s="434" t="s">
        <v>9503</v>
      </c>
      <c r="H170" s="435" t="s">
        <v>9504</v>
      </c>
      <c r="J170" s="437" t="s">
        <v>11058</v>
      </c>
      <c r="K170" s="435"/>
    </row>
    <row r="171" spans="1:11">
      <c r="A171" s="437" t="s">
        <v>1514</v>
      </c>
      <c r="B171" s="435"/>
      <c r="D171" s="437" t="s">
        <v>3354</v>
      </c>
      <c r="E171" s="435"/>
      <c r="G171" s="434" t="s">
        <v>9505</v>
      </c>
      <c r="H171" s="435" t="s">
        <v>9506</v>
      </c>
      <c r="J171" s="437" t="s">
        <v>11059</v>
      </c>
      <c r="K171" s="435"/>
    </row>
    <row r="172" spans="1:11">
      <c r="A172" s="437" t="s">
        <v>1515</v>
      </c>
      <c r="B172" s="435"/>
      <c r="D172" s="437" t="s">
        <v>3355</v>
      </c>
      <c r="E172" s="435"/>
      <c r="G172" s="437" t="s">
        <v>9507</v>
      </c>
      <c r="H172" s="435"/>
      <c r="J172" s="437" t="s">
        <v>11060</v>
      </c>
      <c r="K172" s="435"/>
    </row>
    <row r="173" spans="1:11">
      <c r="A173" s="437" t="s">
        <v>1516</v>
      </c>
      <c r="B173" s="435"/>
      <c r="D173" s="434" t="s">
        <v>3356</v>
      </c>
      <c r="E173" s="435" t="s">
        <v>3357</v>
      </c>
      <c r="G173" s="437" t="s">
        <v>9508</v>
      </c>
      <c r="H173" s="435"/>
      <c r="J173" s="437" t="s">
        <v>11061</v>
      </c>
      <c r="K173" s="435"/>
    </row>
    <row r="174" spans="1:11">
      <c r="A174" s="437" t="s">
        <v>1517</v>
      </c>
      <c r="B174" s="435"/>
      <c r="D174" s="434" t="s">
        <v>3358</v>
      </c>
      <c r="E174" s="435" t="s">
        <v>3357</v>
      </c>
      <c r="G174" s="434" t="s">
        <v>9509</v>
      </c>
      <c r="H174" s="435" t="s">
        <v>9504</v>
      </c>
      <c r="J174" s="434" t="s">
        <v>11062</v>
      </c>
      <c r="K174" s="435" t="s">
        <v>11063</v>
      </c>
    </row>
    <row r="175" spans="1:11">
      <c r="A175" s="437" t="s">
        <v>1518</v>
      </c>
      <c r="B175" s="435"/>
      <c r="D175" s="437" t="s">
        <v>3359</v>
      </c>
      <c r="E175" s="435"/>
      <c r="G175" s="437" t="s">
        <v>9510</v>
      </c>
      <c r="H175" s="435"/>
      <c r="J175" s="434" t="s">
        <v>11064</v>
      </c>
      <c r="K175" s="435" t="s">
        <v>11065</v>
      </c>
    </row>
    <row r="176" spans="1:11">
      <c r="A176" s="437" t="s">
        <v>1519</v>
      </c>
      <c r="B176" s="435"/>
      <c r="D176" s="437" t="s">
        <v>3360</v>
      </c>
      <c r="E176" s="435"/>
      <c r="G176" s="437" t="s">
        <v>9511</v>
      </c>
      <c r="H176" s="435"/>
      <c r="J176" s="437" t="s">
        <v>11066</v>
      </c>
      <c r="K176" s="435"/>
    </row>
    <row r="177" spans="1:11">
      <c r="A177" s="437" t="s">
        <v>1520</v>
      </c>
      <c r="B177" s="435"/>
      <c r="D177" s="437" t="s">
        <v>3361</v>
      </c>
      <c r="E177" s="435"/>
      <c r="G177" s="437" t="s">
        <v>9512</v>
      </c>
      <c r="H177" s="435"/>
      <c r="J177" s="437" t="s">
        <v>11067</v>
      </c>
      <c r="K177" s="435"/>
    </row>
    <row r="178" spans="1:11">
      <c r="A178" s="437" t="s">
        <v>1521</v>
      </c>
      <c r="B178" s="435"/>
      <c r="D178" s="434" t="s">
        <v>3362</v>
      </c>
      <c r="E178" s="435" t="s">
        <v>3363</v>
      </c>
      <c r="G178" s="437" t="s">
        <v>9513</v>
      </c>
      <c r="H178" s="435"/>
      <c r="J178" s="437" t="s">
        <v>11068</v>
      </c>
      <c r="K178" s="435"/>
    </row>
    <row r="179" spans="1:11">
      <c r="A179" s="437" t="s">
        <v>1522</v>
      </c>
      <c r="B179" s="435"/>
      <c r="D179" s="437" t="s">
        <v>3364</v>
      </c>
      <c r="E179" s="435"/>
      <c r="G179" s="437" t="s">
        <v>9514</v>
      </c>
      <c r="H179" s="435"/>
      <c r="J179" s="437" t="s">
        <v>11069</v>
      </c>
      <c r="K179" s="435"/>
    </row>
    <row r="180" spans="1:11">
      <c r="A180" s="437" t="s">
        <v>1523</v>
      </c>
      <c r="B180" s="435"/>
      <c r="D180" s="434" t="s">
        <v>3365</v>
      </c>
      <c r="E180" s="435" t="s">
        <v>3366</v>
      </c>
      <c r="G180" s="434" t="s">
        <v>9515</v>
      </c>
      <c r="H180" s="435" t="s">
        <v>9516</v>
      </c>
      <c r="J180" s="437" t="s">
        <v>11070</v>
      </c>
      <c r="K180" s="435"/>
    </row>
    <row r="181" spans="1:11">
      <c r="A181" s="434" t="s">
        <v>24</v>
      </c>
      <c r="B181" s="435" t="s">
        <v>1524</v>
      </c>
      <c r="D181" s="434" t="s">
        <v>3367</v>
      </c>
      <c r="E181" s="435" t="s">
        <v>3368</v>
      </c>
      <c r="G181" s="434" t="s">
        <v>9517</v>
      </c>
      <c r="H181" s="435" t="s">
        <v>9516</v>
      </c>
      <c r="J181" s="437" t="s">
        <v>11071</v>
      </c>
      <c r="K181" s="435"/>
    </row>
    <row r="182" spans="1:11">
      <c r="A182" s="434" t="s">
        <v>1525</v>
      </c>
      <c r="B182" s="435" t="s">
        <v>1524</v>
      </c>
      <c r="D182" s="437" t="s">
        <v>3369</v>
      </c>
      <c r="E182" s="435"/>
      <c r="G182" s="437" t="s">
        <v>9518</v>
      </c>
      <c r="H182" s="435"/>
      <c r="J182" s="437" t="s">
        <v>11072</v>
      </c>
      <c r="K182" s="435"/>
    </row>
    <row r="183" spans="1:11">
      <c r="A183" s="434" t="s">
        <v>1526</v>
      </c>
      <c r="B183" s="435" t="s">
        <v>1524</v>
      </c>
      <c r="D183" s="437" t="s">
        <v>3370</v>
      </c>
      <c r="E183" s="435"/>
      <c r="G183" s="437" t="s">
        <v>9519</v>
      </c>
      <c r="H183" s="435"/>
      <c r="J183" s="437" t="s">
        <v>11073</v>
      </c>
      <c r="K183" s="435"/>
    </row>
    <row r="184" spans="1:11">
      <c r="A184" s="434" t="s">
        <v>1527</v>
      </c>
      <c r="B184" s="435" t="s">
        <v>1528</v>
      </c>
      <c r="D184" s="437" t="s">
        <v>3371</v>
      </c>
      <c r="E184" s="435"/>
      <c r="G184" s="437" t="s">
        <v>9520</v>
      </c>
      <c r="H184" s="435"/>
      <c r="J184" s="437" t="s">
        <v>11074</v>
      </c>
      <c r="K184" s="435"/>
    </row>
    <row r="185" spans="1:11">
      <c r="A185" s="437" t="s">
        <v>1529</v>
      </c>
      <c r="B185" s="435"/>
      <c r="D185" s="437" t="s">
        <v>3372</v>
      </c>
      <c r="E185" s="435"/>
      <c r="G185" s="437" t="s">
        <v>9521</v>
      </c>
      <c r="H185" s="435"/>
      <c r="J185" s="437" t="s">
        <v>11075</v>
      </c>
      <c r="K185" s="435"/>
    </row>
    <row r="186" spans="1:11">
      <c r="A186" s="434" t="s">
        <v>1530</v>
      </c>
      <c r="B186" s="435" t="s">
        <v>1531</v>
      </c>
      <c r="D186" s="437" t="s">
        <v>3373</v>
      </c>
      <c r="E186" s="435"/>
      <c r="G186" s="434" t="s">
        <v>9522</v>
      </c>
      <c r="H186" s="435"/>
      <c r="J186" s="437" t="s">
        <v>11076</v>
      </c>
      <c r="K186" s="435"/>
    </row>
    <row r="187" spans="1:11">
      <c r="A187" s="434" t="s">
        <v>1532</v>
      </c>
      <c r="B187" s="435" t="s">
        <v>1531</v>
      </c>
      <c r="D187" s="437" t="s">
        <v>3374</v>
      </c>
      <c r="E187" s="435"/>
      <c r="G187" s="434" t="s">
        <v>616</v>
      </c>
      <c r="H187" s="435" t="s">
        <v>4070</v>
      </c>
      <c r="J187" s="437" t="s">
        <v>11077</v>
      </c>
      <c r="K187" s="435"/>
    </row>
    <row r="188" spans="1:11">
      <c r="A188" s="437" t="s">
        <v>1533</v>
      </c>
      <c r="B188" s="435"/>
      <c r="D188" s="437" t="s">
        <v>3375</v>
      </c>
      <c r="E188" s="435"/>
      <c r="G188" s="434" t="s">
        <v>4071</v>
      </c>
      <c r="H188" s="435" t="s">
        <v>4070</v>
      </c>
      <c r="J188" s="437" t="s">
        <v>11078</v>
      </c>
      <c r="K188" s="435"/>
    </row>
    <row r="189" spans="1:11">
      <c r="A189" s="437" t="s">
        <v>1534</v>
      </c>
      <c r="B189" s="435"/>
      <c r="D189" s="437" t="s">
        <v>3376</v>
      </c>
      <c r="E189" s="435"/>
      <c r="G189" s="437" t="s">
        <v>4072</v>
      </c>
      <c r="H189" s="435"/>
      <c r="J189" s="434" t="s">
        <v>11079</v>
      </c>
      <c r="K189" s="435" t="s">
        <v>11080</v>
      </c>
    </row>
    <row r="190" spans="1:11">
      <c r="A190" s="437" t="s">
        <v>1535</v>
      </c>
      <c r="B190" s="435"/>
      <c r="D190" s="437" t="s">
        <v>3377</v>
      </c>
      <c r="E190" s="435"/>
      <c r="G190" s="437" t="s">
        <v>4073</v>
      </c>
      <c r="H190" s="435"/>
      <c r="J190" s="434" t="s">
        <v>7136</v>
      </c>
      <c r="K190" s="435" t="s">
        <v>7137</v>
      </c>
    </row>
    <row r="191" spans="1:11">
      <c r="A191" s="437" t="s">
        <v>1536</v>
      </c>
      <c r="B191" s="435"/>
      <c r="D191" s="437" t="s">
        <v>3378</v>
      </c>
      <c r="E191" s="435"/>
      <c r="G191" s="434" t="s">
        <v>4112</v>
      </c>
      <c r="H191" s="435" t="s">
        <v>4113</v>
      </c>
      <c r="J191" s="434" t="s">
        <v>7138</v>
      </c>
      <c r="K191" s="435" t="s">
        <v>7137</v>
      </c>
    </row>
    <row r="192" spans="1:11">
      <c r="A192" s="437" t="s">
        <v>1537</v>
      </c>
      <c r="B192" s="435"/>
      <c r="D192" s="437" t="s">
        <v>3379</v>
      </c>
      <c r="E192" s="435"/>
      <c r="G192" s="437" t="s">
        <v>4114</v>
      </c>
      <c r="H192" s="435"/>
      <c r="J192" s="437" t="s">
        <v>7139</v>
      </c>
      <c r="K192" s="435"/>
    </row>
    <row r="193" spans="1:11">
      <c r="A193" s="434" t="s">
        <v>1538</v>
      </c>
      <c r="B193" s="435" t="s">
        <v>1539</v>
      </c>
      <c r="D193" s="437" t="s">
        <v>3380</v>
      </c>
      <c r="E193" s="435"/>
      <c r="G193" s="437" t="s">
        <v>4115</v>
      </c>
      <c r="H193" s="435"/>
      <c r="J193" s="437" t="s">
        <v>7140</v>
      </c>
      <c r="K193" s="435"/>
    </row>
    <row r="194" spans="1:11">
      <c r="A194" s="437" t="s">
        <v>1540</v>
      </c>
      <c r="B194" s="435"/>
      <c r="D194" s="437" t="s">
        <v>3381</v>
      </c>
      <c r="E194" s="435"/>
      <c r="G194" s="437" t="s">
        <v>4116</v>
      </c>
      <c r="H194" s="435"/>
      <c r="J194" s="434" t="s">
        <v>7522</v>
      </c>
      <c r="K194" s="435" t="s">
        <v>7523</v>
      </c>
    </row>
    <row r="195" spans="1:11">
      <c r="A195" s="434" t="s">
        <v>1541</v>
      </c>
      <c r="B195" s="435" t="s">
        <v>1542</v>
      </c>
      <c r="D195" s="437" t="s">
        <v>3382</v>
      </c>
      <c r="E195" s="435"/>
      <c r="G195" s="437" t="s">
        <v>4117</v>
      </c>
      <c r="H195" s="435"/>
      <c r="J195" s="437" t="s">
        <v>7524</v>
      </c>
      <c r="K195" s="435"/>
    </row>
    <row r="196" spans="1:11">
      <c r="A196" s="434" t="s">
        <v>25</v>
      </c>
      <c r="B196" s="435" t="s">
        <v>1543</v>
      </c>
      <c r="D196" s="434" t="s">
        <v>3383</v>
      </c>
      <c r="E196" s="435" t="s">
        <v>3384</v>
      </c>
      <c r="G196" s="437" t="s">
        <v>4118</v>
      </c>
      <c r="H196" s="435"/>
      <c r="J196" s="437" t="s">
        <v>7525</v>
      </c>
      <c r="K196" s="435"/>
    </row>
    <row r="197" spans="1:11">
      <c r="A197" s="437" t="s">
        <v>1544</v>
      </c>
      <c r="B197" s="435"/>
      <c r="D197" s="434" t="s">
        <v>3385</v>
      </c>
      <c r="E197" s="435" t="s">
        <v>3384</v>
      </c>
      <c r="G197" s="437" t="s">
        <v>4119</v>
      </c>
      <c r="H197" s="435"/>
      <c r="J197" s="437" t="s">
        <v>7526</v>
      </c>
      <c r="K197" s="435"/>
    </row>
    <row r="198" spans="1:11">
      <c r="A198" s="437" t="s">
        <v>1545</v>
      </c>
      <c r="B198" s="435"/>
      <c r="D198" s="437" t="s">
        <v>3386</v>
      </c>
      <c r="E198" s="435"/>
      <c r="G198" s="434" t="s">
        <v>9523</v>
      </c>
      <c r="H198" s="435" t="s">
        <v>9524</v>
      </c>
      <c r="J198" s="437" t="s">
        <v>7527</v>
      </c>
      <c r="K198" s="435"/>
    </row>
    <row r="199" spans="1:11">
      <c r="A199" s="437" t="s">
        <v>1546</v>
      </c>
      <c r="B199" s="435"/>
      <c r="D199" s="434" t="s">
        <v>3387</v>
      </c>
      <c r="E199" s="435" t="s">
        <v>3388</v>
      </c>
      <c r="G199" s="434" t="s">
        <v>9525</v>
      </c>
      <c r="H199" s="435" t="s">
        <v>9524</v>
      </c>
      <c r="J199" s="437" t="s">
        <v>7528</v>
      </c>
      <c r="K199" s="435"/>
    </row>
    <row r="200" spans="1:11">
      <c r="A200" s="434" t="s">
        <v>1547</v>
      </c>
      <c r="B200" s="435" t="s">
        <v>1548</v>
      </c>
      <c r="D200" s="434" t="s">
        <v>3389</v>
      </c>
      <c r="E200" s="435"/>
      <c r="G200" s="437" t="s">
        <v>9526</v>
      </c>
      <c r="H200" s="435"/>
      <c r="J200" s="434" t="s">
        <v>7529</v>
      </c>
      <c r="K200" s="435" t="s">
        <v>7530</v>
      </c>
    </row>
    <row r="201" spans="1:11">
      <c r="A201" s="434" t="s">
        <v>1549</v>
      </c>
      <c r="B201" s="435" t="s">
        <v>1548</v>
      </c>
      <c r="D201" s="434" t="s">
        <v>3390</v>
      </c>
      <c r="E201" s="435" t="s">
        <v>3391</v>
      </c>
      <c r="G201" s="437" t="s">
        <v>9527</v>
      </c>
      <c r="H201" s="435"/>
      <c r="J201" s="434" t="s">
        <v>7531</v>
      </c>
      <c r="K201" s="435" t="s">
        <v>7530</v>
      </c>
    </row>
    <row r="202" spans="1:11">
      <c r="A202" s="437" t="s">
        <v>1550</v>
      </c>
      <c r="B202" s="435"/>
      <c r="D202" s="437" t="s">
        <v>3392</v>
      </c>
      <c r="E202" s="435"/>
      <c r="G202" s="434" t="s">
        <v>9528</v>
      </c>
      <c r="H202" s="435" t="s">
        <v>9529</v>
      </c>
      <c r="J202" s="437" t="s">
        <v>7532</v>
      </c>
      <c r="K202" s="435"/>
    </row>
    <row r="203" spans="1:11">
      <c r="A203" s="437" t="s">
        <v>1551</v>
      </c>
      <c r="B203" s="435"/>
      <c r="D203" s="437" t="s">
        <v>3393</v>
      </c>
      <c r="E203" s="435"/>
      <c r="G203" s="437" t="s">
        <v>9530</v>
      </c>
      <c r="H203" s="435"/>
      <c r="J203" s="437" t="s">
        <v>7533</v>
      </c>
      <c r="K203" s="435"/>
    </row>
    <row r="204" spans="1:11">
      <c r="A204" s="437" t="s">
        <v>1552</v>
      </c>
      <c r="B204" s="435"/>
      <c r="D204" s="437" t="s">
        <v>3394</v>
      </c>
      <c r="E204" s="435"/>
      <c r="G204" s="437" t="s">
        <v>9531</v>
      </c>
      <c r="H204" s="435"/>
      <c r="J204" s="437" t="s">
        <v>7534</v>
      </c>
      <c r="K204" s="435"/>
    </row>
    <row r="205" spans="1:11">
      <c r="A205" s="437" t="s">
        <v>1553</v>
      </c>
      <c r="B205" s="435"/>
      <c r="D205" s="437" t="s">
        <v>3395</v>
      </c>
      <c r="E205" s="435"/>
      <c r="G205" s="437" t="s">
        <v>9532</v>
      </c>
      <c r="H205" s="435"/>
      <c r="J205" s="437" t="s">
        <v>7535</v>
      </c>
      <c r="K205" s="435"/>
    </row>
    <row r="206" spans="1:11">
      <c r="A206" s="437" t="s">
        <v>1554</v>
      </c>
      <c r="B206" s="435"/>
      <c r="D206" s="437" t="s">
        <v>3396</v>
      </c>
      <c r="E206" s="435"/>
      <c r="G206" s="437" t="s">
        <v>9533</v>
      </c>
      <c r="H206" s="435"/>
      <c r="J206" s="437" t="s">
        <v>7536</v>
      </c>
      <c r="K206" s="435"/>
    </row>
    <row r="207" spans="1:11">
      <c r="A207" s="437" t="s">
        <v>1555</v>
      </c>
      <c r="B207" s="435"/>
      <c r="D207" s="437" t="s">
        <v>3397</v>
      </c>
      <c r="E207" s="435"/>
      <c r="G207" s="434" t="s">
        <v>9534</v>
      </c>
      <c r="H207" s="435" t="s">
        <v>9535</v>
      </c>
      <c r="J207" s="434" t="s">
        <v>7537</v>
      </c>
      <c r="K207" s="435" t="s">
        <v>7530</v>
      </c>
    </row>
    <row r="208" spans="1:11">
      <c r="A208" s="434" t="s">
        <v>1556</v>
      </c>
      <c r="B208" s="435" t="s">
        <v>1557</v>
      </c>
      <c r="D208" s="437" t="s">
        <v>3398</v>
      </c>
      <c r="E208" s="435"/>
      <c r="G208" s="437" t="s">
        <v>9536</v>
      </c>
      <c r="H208" s="435"/>
      <c r="J208" s="437" t="s">
        <v>7538</v>
      </c>
      <c r="K208" s="435"/>
    </row>
    <row r="209" spans="1:11">
      <c r="A209" s="434" t="s">
        <v>26</v>
      </c>
      <c r="B209" s="435" t="s">
        <v>1558</v>
      </c>
      <c r="D209" s="434" t="s">
        <v>3399</v>
      </c>
      <c r="E209" s="435" t="s">
        <v>3400</v>
      </c>
      <c r="G209" s="437" t="s">
        <v>9537</v>
      </c>
      <c r="H209" s="435"/>
      <c r="J209" s="437" t="s">
        <v>7539</v>
      </c>
      <c r="K209" s="435"/>
    </row>
    <row r="210" spans="1:11">
      <c r="A210" s="434" t="s">
        <v>1559</v>
      </c>
      <c r="B210" s="435" t="s">
        <v>1560</v>
      </c>
      <c r="D210" s="437" t="s">
        <v>3401</v>
      </c>
      <c r="E210" s="435"/>
      <c r="G210" s="434" t="s">
        <v>9538</v>
      </c>
      <c r="H210" s="435" t="s">
        <v>9539</v>
      </c>
      <c r="J210" s="437" t="s">
        <v>7540</v>
      </c>
      <c r="K210" s="435"/>
    </row>
    <row r="211" spans="1:11">
      <c r="A211" s="437" t="s">
        <v>1561</v>
      </c>
      <c r="B211" s="435"/>
      <c r="D211" s="437" t="s">
        <v>3402</v>
      </c>
      <c r="E211" s="435"/>
      <c r="G211" s="437" t="s">
        <v>9540</v>
      </c>
      <c r="H211" s="435"/>
      <c r="J211" s="437" t="s">
        <v>7541</v>
      </c>
      <c r="K211" s="435"/>
    </row>
    <row r="212" spans="1:11">
      <c r="A212" s="437" t="s">
        <v>1562</v>
      </c>
      <c r="B212" s="435"/>
      <c r="D212" s="437" t="s">
        <v>3403</v>
      </c>
      <c r="E212" s="435"/>
      <c r="G212" s="437" t="s">
        <v>9541</v>
      </c>
      <c r="H212" s="435"/>
      <c r="J212" s="434" t="s">
        <v>10443</v>
      </c>
      <c r="K212" s="435" t="s">
        <v>10444</v>
      </c>
    </row>
    <row r="213" spans="1:11">
      <c r="A213" s="434" t="s">
        <v>1563</v>
      </c>
      <c r="B213" s="435" t="s">
        <v>1564</v>
      </c>
      <c r="D213" s="437" t="s">
        <v>3404</v>
      </c>
      <c r="E213" s="435"/>
      <c r="G213" s="437" t="s">
        <v>9542</v>
      </c>
      <c r="H213" s="435"/>
      <c r="J213" s="434" t="s">
        <v>10445</v>
      </c>
      <c r="K213" s="435" t="s">
        <v>10444</v>
      </c>
    </row>
    <row r="214" spans="1:11">
      <c r="A214" s="437" t="s">
        <v>1565</v>
      </c>
      <c r="B214" s="435"/>
      <c r="D214" s="434" t="s">
        <v>3405</v>
      </c>
      <c r="E214" s="435" t="s">
        <v>3406</v>
      </c>
      <c r="G214" s="434" t="s">
        <v>9543</v>
      </c>
      <c r="H214" s="435" t="s">
        <v>9544</v>
      </c>
      <c r="J214" s="434" t="s">
        <v>8241</v>
      </c>
      <c r="K214" s="435" t="s">
        <v>8242</v>
      </c>
    </row>
    <row r="215" spans="1:11">
      <c r="A215" s="437" t="s">
        <v>1566</v>
      </c>
      <c r="B215" s="435"/>
      <c r="D215" s="434" t="s">
        <v>3407</v>
      </c>
      <c r="E215" s="435" t="s">
        <v>3406</v>
      </c>
      <c r="G215" s="437" t="s">
        <v>9545</v>
      </c>
      <c r="H215" s="435"/>
      <c r="J215" s="434" t="s">
        <v>8300</v>
      </c>
      <c r="K215" s="435" t="s">
        <v>8301</v>
      </c>
    </row>
    <row r="216" spans="1:11">
      <c r="A216" s="437" t="s">
        <v>1567</v>
      </c>
      <c r="B216" s="435"/>
      <c r="D216" s="437" t="s">
        <v>3408</v>
      </c>
      <c r="E216" s="435"/>
      <c r="G216" s="434" t="s">
        <v>9546</v>
      </c>
      <c r="H216" s="435"/>
      <c r="J216" s="437" t="s">
        <v>8302</v>
      </c>
      <c r="K216" s="435"/>
    </row>
    <row r="217" spans="1:11">
      <c r="A217" s="434" t="s">
        <v>27</v>
      </c>
      <c r="B217" s="435" t="s">
        <v>1568</v>
      </c>
      <c r="D217" s="434" t="s">
        <v>3409</v>
      </c>
      <c r="E217" s="435" t="s">
        <v>3410</v>
      </c>
      <c r="G217" s="434" t="s">
        <v>9547</v>
      </c>
      <c r="H217" s="435" t="s">
        <v>9548</v>
      </c>
      <c r="J217" s="434" t="s">
        <v>8303</v>
      </c>
      <c r="K217" s="435" t="s">
        <v>8304</v>
      </c>
    </row>
    <row r="218" spans="1:11">
      <c r="A218" s="434" t="s">
        <v>28</v>
      </c>
      <c r="B218" s="435" t="s">
        <v>1569</v>
      </c>
      <c r="D218" s="437" t="s">
        <v>3411</v>
      </c>
      <c r="E218" s="435"/>
      <c r="G218" s="437" t="s">
        <v>9549</v>
      </c>
      <c r="H218" s="435"/>
      <c r="J218" s="437" t="s">
        <v>8305</v>
      </c>
      <c r="K218" s="435"/>
    </row>
    <row r="219" spans="1:11">
      <c r="A219" s="437" t="s">
        <v>1570</v>
      </c>
      <c r="B219" s="435"/>
      <c r="D219" s="437" t="s">
        <v>3412</v>
      </c>
      <c r="E219" s="435"/>
      <c r="G219" s="437" t="s">
        <v>9550</v>
      </c>
      <c r="H219" s="435"/>
      <c r="J219" s="434" t="s">
        <v>8306</v>
      </c>
      <c r="K219" s="435" t="s">
        <v>8307</v>
      </c>
    </row>
    <row r="220" spans="1:11">
      <c r="A220" s="437" t="s">
        <v>1571</v>
      </c>
      <c r="B220" s="435"/>
      <c r="D220" s="434" t="s">
        <v>3413</v>
      </c>
      <c r="E220" s="435" t="s">
        <v>3414</v>
      </c>
      <c r="G220" s="437" t="s">
        <v>9551</v>
      </c>
      <c r="H220" s="435"/>
      <c r="J220" s="434" t="s">
        <v>8308</v>
      </c>
      <c r="K220" s="435" t="s">
        <v>8309</v>
      </c>
    </row>
    <row r="221" spans="1:11">
      <c r="A221" s="434" t="s">
        <v>1572</v>
      </c>
      <c r="B221" s="435" t="s">
        <v>1573</v>
      </c>
      <c r="D221" s="437" t="s">
        <v>3415</v>
      </c>
      <c r="E221" s="435"/>
      <c r="G221" s="437" t="s">
        <v>9552</v>
      </c>
      <c r="H221" s="435"/>
      <c r="J221" s="437" t="s">
        <v>8310</v>
      </c>
      <c r="K221" s="435"/>
    </row>
    <row r="222" spans="1:11">
      <c r="A222" s="437" t="s">
        <v>1574</v>
      </c>
      <c r="B222" s="435"/>
      <c r="D222" s="437" t="s">
        <v>3416</v>
      </c>
      <c r="E222" s="435"/>
      <c r="G222" s="437" t="s">
        <v>9553</v>
      </c>
      <c r="H222" s="435"/>
      <c r="J222" s="437" t="s">
        <v>8311</v>
      </c>
      <c r="K222" s="435"/>
    </row>
    <row r="223" spans="1:11">
      <c r="A223" s="434" t="s">
        <v>29</v>
      </c>
      <c r="B223" s="435" t="s">
        <v>1575</v>
      </c>
      <c r="D223" s="434" t="s">
        <v>3417</v>
      </c>
      <c r="E223" s="435" t="s">
        <v>3418</v>
      </c>
      <c r="G223" s="437" t="s">
        <v>9554</v>
      </c>
      <c r="H223" s="435"/>
      <c r="J223" s="434" t="s">
        <v>10902</v>
      </c>
      <c r="K223" s="435" t="s">
        <v>10903</v>
      </c>
    </row>
    <row r="224" spans="1:11">
      <c r="A224" s="437" t="s">
        <v>1576</v>
      </c>
      <c r="B224" s="435"/>
      <c r="D224" s="437" t="s">
        <v>3419</v>
      </c>
      <c r="E224" s="435"/>
      <c r="G224" s="437" t="s">
        <v>9555</v>
      </c>
      <c r="H224" s="435"/>
      <c r="J224" s="437" t="s">
        <v>10904</v>
      </c>
      <c r="K224" s="435"/>
    </row>
    <row r="225" spans="1:11">
      <c r="A225" s="434" t="s">
        <v>1577</v>
      </c>
      <c r="B225" s="435" t="s">
        <v>1578</v>
      </c>
      <c r="D225" s="437" t="s">
        <v>3420</v>
      </c>
      <c r="E225" s="435"/>
      <c r="G225" s="434" t="s">
        <v>9556</v>
      </c>
      <c r="H225" s="435" t="s">
        <v>9557</v>
      </c>
      <c r="J225" s="437" t="s">
        <v>10905</v>
      </c>
      <c r="K225" s="435"/>
    </row>
    <row r="226" spans="1:11">
      <c r="A226" s="437" t="s">
        <v>1579</v>
      </c>
      <c r="B226" s="435"/>
      <c r="D226" s="437" t="s">
        <v>3421</v>
      </c>
      <c r="E226" s="435"/>
      <c r="G226" s="437" t="s">
        <v>9558</v>
      </c>
      <c r="H226" s="435"/>
      <c r="J226" s="434" t="s">
        <v>10906</v>
      </c>
      <c r="K226" s="435" t="s">
        <v>10907</v>
      </c>
    </row>
    <row r="227" spans="1:11">
      <c r="A227" s="434" t="s">
        <v>1580</v>
      </c>
      <c r="B227" s="435" t="s">
        <v>1581</v>
      </c>
      <c r="D227" s="434" t="s">
        <v>3422</v>
      </c>
      <c r="E227" s="435" t="s">
        <v>3423</v>
      </c>
      <c r="G227" s="437" t="s">
        <v>9559</v>
      </c>
      <c r="H227" s="435"/>
      <c r="J227" s="437" t="s">
        <v>10908</v>
      </c>
      <c r="K227" s="435"/>
    </row>
    <row r="228" spans="1:11">
      <c r="A228" s="434" t="s">
        <v>1582</v>
      </c>
      <c r="B228" s="435" t="s">
        <v>1583</v>
      </c>
      <c r="D228" s="434" t="s">
        <v>3424</v>
      </c>
      <c r="E228" s="435" t="s">
        <v>3423</v>
      </c>
      <c r="G228" s="437" t="s">
        <v>9560</v>
      </c>
      <c r="H228" s="435"/>
      <c r="J228" s="437" t="s">
        <v>10909</v>
      </c>
      <c r="K228" s="435"/>
    </row>
    <row r="229" spans="1:11">
      <c r="A229" s="434" t="s">
        <v>1584</v>
      </c>
      <c r="B229" s="435" t="s">
        <v>1585</v>
      </c>
      <c r="D229" s="437" t="s">
        <v>3425</v>
      </c>
      <c r="E229" s="435"/>
      <c r="G229" s="437" t="s">
        <v>9561</v>
      </c>
      <c r="H229" s="435"/>
      <c r="J229" s="437" t="s">
        <v>10910</v>
      </c>
      <c r="K229" s="435"/>
    </row>
    <row r="230" spans="1:11">
      <c r="A230" s="437" t="s">
        <v>1586</v>
      </c>
      <c r="B230" s="435"/>
      <c r="D230" s="434" t="s">
        <v>3426</v>
      </c>
      <c r="E230" s="435" t="s">
        <v>3423</v>
      </c>
      <c r="G230" s="437" t="s">
        <v>9562</v>
      </c>
      <c r="H230" s="435"/>
      <c r="J230" s="437" t="s">
        <v>10911</v>
      </c>
      <c r="K230" s="435"/>
    </row>
    <row r="231" spans="1:11">
      <c r="A231" s="434" t="s">
        <v>1587</v>
      </c>
      <c r="B231" s="435" t="s">
        <v>1588</v>
      </c>
      <c r="D231" s="437" t="s">
        <v>3427</v>
      </c>
      <c r="E231" s="435"/>
      <c r="G231" s="437" t="s">
        <v>9563</v>
      </c>
      <c r="H231" s="435"/>
      <c r="J231" s="434" t="s">
        <v>8553</v>
      </c>
      <c r="K231" s="435" t="s">
        <v>8554</v>
      </c>
    </row>
    <row r="232" spans="1:11">
      <c r="A232" s="434" t="s">
        <v>1589</v>
      </c>
      <c r="B232" s="435" t="s">
        <v>1590</v>
      </c>
      <c r="D232" s="437" t="s">
        <v>3428</v>
      </c>
      <c r="E232" s="435"/>
      <c r="G232" s="434" t="s">
        <v>9564</v>
      </c>
      <c r="H232" s="435"/>
      <c r="J232" s="437" t="s">
        <v>8555</v>
      </c>
      <c r="K232" s="435"/>
    </row>
    <row r="233" spans="1:11">
      <c r="A233" s="434" t="s">
        <v>1591</v>
      </c>
      <c r="B233" s="435" t="s">
        <v>1592</v>
      </c>
      <c r="D233" s="437" t="s">
        <v>3429</v>
      </c>
      <c r="E233" s="435"/>
      <c r="G233" s="434" t="s">
        <v>9565</v>
      </c>
      <c r="H233" s="435" t="s">
        <v>9566</v>
      </c>
      <c r="J233" s="437" t="s">
        <v>8556</v>
      </c>
      <c r="K233" s="435"/>
    </row>
    <row r="234" spans="1:11">
      <c r="A234" s="434" t="s">
        <v>1593</v>
      </c>
      <c r="B234" s="435" t="s">
        <v>1592</v>
      </c>
      <c r="D234" s="437" t="s">
        <v>3430</v>
      </c>
      <c r="E234" s="435"/>
      <c r="G234" s="437" t="s">
        <v>9567</v>
      </c>
      <c r="H234" s="435"/>
      <c r="J234" s="434" t="s">
        <v>8557</v>
      </c>
      <c r="K234" s="435" t="s">
        <v>8558</v>
      </c>
    </row>
    <row r="235" spans="1:11">
      <c r="A235" s="434" t="s">
        <v>31</v>
      </c>
      <c r="B235" s="435" t="s">
        <v>1594</v>
      </c>
      <c r="D235" s="437" t="s">
        <v>3431</v>
      </c>
      <c r="E235" s="435"/>
      <c r="G235" s="434" t="s">
        <v>4207</v>
      </c>
      <c r="H235" s="435" t="s">
        <v>4208</v>
      </c>
      <c r="J235" s="437" t="s">
        <v>8559</v>
      </c>
      <c r="K235" s="435"/>
    </row>
    <row r="236" spans="1:11">
      <c r="A236" s="434" t="s">
        <v>1595</v>
      </c>
      <c r="B236" s="435" t="s">
        <v>1596</v>
      </c>
      <c r="D236" s="434" t="s">
        <v>3432</v>
      </c>
      <c r="E236" s="435" t="s">
        <v>3433</v>
      </c>
      <c r="G236" s="434" t="s">
        <v>9568</v>
      </c>
      <c r="H236" s="435" t="s">
        <v>9569</v>
      </c>
      <c r="J236" s="437" t="s">
        <v>8560</v>
      </c>
      <c r="K236" s="435"/>
    </row>
    <row r="237" spans="1:11">
      <c r="A237" s="434" t="s">
        <v>1597</v>
      </c>
      <c r="B237" s="435" t="s">
        <v>1598</v>
      </c>
      <c r="D237" s="434" t="s">
        <v>3434</v>
      </c>
      <c r="E237" s="435" t="s">
        <v>3435</v>
      </c>
      <c r="G237" s="437" t="s">
        <v>9570</v>
      </c>
      <c r="H237" s="435"/>
      <c r="J237" s="434" t="s">
        <v>8574</v>
      </c>
      <c r="K237" s="435" t="s">
        <v>8575</v>
      </c>
    </row>
    <row r="238" spans="1:11">
      <c r="A238" s="437" t="s">
        <v>1599</v>
      </c>
      <c r="B238" s="435"/>
      <c r="D238" s="437" t="s">
        <v>3436</v>
      </c>
      <c r="E238" s="435"/>
      <c r="G238" s="434" t="s">
        <v>9571</v>
      </c>
      <c r="H238" s="435" t="s">
        <v>9572</v>
      </c>
      <c r="J238" s="434" t="s">
        <v>8576</v>
      </c>
      <c r="K238" s="435" t="s">
        <v>8577</v>
      </c>
    </row>
    <row r="239" spans="1:11">
      <c r="A239" s="434" t="s">
        <v>1600</v>
      </c>
      <c r="B239" s="435" t="s">
        <v>1601</v>
      </c>
      <c r="D239" s="437" t="s">
        <v>3437</v>
      </c>
      <c r="E239" s="435"/>
      <c r="G239" s="434" t="s">
        <v>9573</v>
      </c>
      <c r="H239" s="435" t="s">
        <v>9574</v>
      </c>
      <c r="J239" s="437" t="s">
        <v>8578</v>
      </c>
      <c r="K239" s="435"/>
    </row>
    <row r="240" spans="1:11">
      <c r="A240" s="434" t="s">
        <v>1602</v>
      </c>
      <c r="B240" s="435" t="s">
        <v>1603</v>
      </c>
      <c r="D240" s="437" t="s">
        <v>3438</v>
      </c>
      <c r="E240" s="435"/>
      <c r="G240" s="437" t="s">
        <v>9575</v>
      </c>
      <c r="H240" s="435"/>
      <c r="J240" s="437" t="s">
        <v>8579</v>
      </c>
      <c r="K240" s="435"/>
    </row>
    <row r="241" spans="1:11">
      <c r="A241" s="437" t="s">
        <v>1604</v>
      </c>
      <c r="B241" s="435"/>
      <c r="D241" s="434" t="s">
        <v>3439</v>
      </c>
      <c r="E241" s="435" t="s">
        <v>3440</v>
      </c>
      <c r="G241" s="437" t="s">
        <v>9576</v>
      </c>
      <c r="H241" s="435"/>
      <c r="J241" s="434" t="s">
        <v>8877</v>
      </c>
      <c r="K241" s="435" t="s">
        <v>8878</v>
      </c>
    </row>
    <row r="242" spans="1:11">
      <c r="A242" s="434" t="s">
        <v>32</v>
      </c>
      <c r="B242" s="435" t="s">
        <v>1605</v>
      </c>
      <c r="D242" s="437" t="s">
        <v>3441</v>
      </c>
      <c r="E242" s="435"/>
      <c r="G242" s="437" t="s">
        <v>9577</v>
      </c>
      <c r="H242" s="435"/>
      <c r="J242" s="434" t="s">
        <v>8879</v>
      </c>
      <c r="K242" s="435" t="s">
        <v>8878</v>
      </c>
    </row>
    <row r="243" spans="1:11">
      <c r="A243" s="434" t="s">
        <v>1606</v>
      </c>
      <c r="B243" s="435" t="s">
        <v>1605</v>
      </c>
      <c r="D243" s="437" t="s">
        <v>3442</v>
      </c>
      <c r="E243" s="435"/>
      <c r="G243" s="434" t="s">
        <v>267</v>
      </c>
      <c r="H243" s="435" t="s">
        <v>9578</v>
      </c>
      <c r="J243" s="437" t="s">
        <v>8880</v>
      </c>
      <c r="K243" s="435"/>
    </row>
    <row r="244" spans="1:11">
      <c r="A244" s="437" t="s">
        <v>1607</v>
      </c>
      <c r="B244" s="435"/>
      <c r="D244" s="437" t="s">
        <v>3443</v>
      </c>
      <c r="E244" s="435"/>
      <c r="G244" s="437" t="s">
        <v>9579</v>
      </c>
      <c r="H244" s="435"/>
      <c r="J244" s="434" t="s">
        <v>8881</v>
      </c>
      <c r="K244" s="435" t="s">
        <v>8882</v>
      </c>
    </row>
    <row r="245" spans="1:11">
      <c r="A245" s="437" t="s">
        <v>1608</v>
      </c>
      <c r="B245" s="435"/>
      <c r="D245" s="437" t="s">
        <v>3444</v>
      </c>
      <c r="E245" s="435"/>
      <c r="G245" s="437" t="s">
        <v>9580</v>
      </c>
      <c r="H245" s="435"/>
      <c r="J245" s="437" t="s">
        <v>8883</v>
      </c>
      <c r="K245" s="435"/>
    </row>
    <row r="246" spans="1:11">
      <c r="A246" s="434" t="s">
        <v>33</v>
      </c>
      <c r="B246" s="435" t="s">
        <v>1609</v>
      </c>
      <c r="D246" s="437" t="s">
        <v>3445</v>
      </c>
      <c r="E246" s="435"/>
      <c r="G246" s="437" t="s">
        <v>9581</v>
      </c>
      <c r="H246" s="435"/>
      <c r="J246" s="437" t="s">
        <v>8884</v>
      </c>
      <c r="K246" s="435"/>
    </row>
    <row r="247" spans="1:11">
      <c r="A247" s="434" t="s">
        <v>34</v>
      </c>
      <c r="B247" s="435" t="s">
        <v>1610</v>
      </c>
      <c r="D247" s="437" t="s">
        <v>3446</v>
      </c>
      <c r="E247" s="435"/>
      <c r="G247" s="437" t="s">
        <v>9582</v>
      </c>
      <c r="H247" s="435"/>
      <c r="J247" s="437" t="s">
        <v>8885</v>
      </c>
      <c r="K247" s="435"/>
    </row>
    <row r="248" spans="1:11">
      <c r="A248" s="437" t="s">
        <v>1611</v>
      </c>
      <c r="B248" s="435"/>
      <c r="D248" s="437" t="s">
        <v>3447</v>
      </c>
      <c r="E248" s="435"/>
      <c r="G248" s="434" t="s">
        <v>9583</v>
      </c>
      <c r="H248" s="435" t="s">
        <v>9584</v>
      </c>
      <c r="J248" s="437" t="s">
        <v>8886</v>
      </c>
      <c r="K248" s="435"/>
    </row>
    <row r="249" spans="1:11">
      <c r="A249" s="434" t="s">
        <v>1612</v>
      </c>
      <c r="B249" s="435" t="s">
        <v>1613</v>
      </c>
      <c r="D249" s="434" t="s">
        <v>3448</v>
      </c>
      <c r="E249" s="435" t="s">
        <v>3449</v>
      </c>
      <c r="G249" s="437" t="s">
        <v>9585</v>
      </c>
      <c r="H249" s="435"/>
      <c r="J249" s="437" t="s">
        <v>8887</v>
      </c>
      <c r="K249" s="435"/>
    </row>
    <row r="250" spans="1:11">
      <c r="A250" s="434" t="s">
        <v>1614</v>
      </c>
      <c r="B250" s="435" t="s">
        <v>1615</v>
      </c>
      <c r="D250" s="437" t="s">
        <v>3450</v>
      </c>
      <c r="E250" s="435"/>
      <c r="G250" s="437" t="s">
        <v>9586</v>
      </c>
      <c r="H250" s="435"/>
      <c r="J250" s="434" t="s">
        <v>9133</v>
      </c>
      <c r="K250" s="435" t="s">
        <v>9134</v>
      </c>
    </row>
    <row r="251" spans="1:11">
      <c r="A251" s="434" t="s">
        <v>1616</v>
      </c>
      <c r="B251" s="435" t="s">
        <v>1615</v>
      </c>
      <c r="D251" s="437" t="s">
        <v>3451</v>
      </c>
      <c r="E251" s="435"/>
      <c r="G251" s="437" t="s">
        <v>9587</v>
      </c>
      <c r="H251" s="435"/>
      <c r="J251" s="434" t="s">
        <v>9135</v>
      </c>
      <c r="K251" s="435" t="s">
        <v>9134</v>
      </c>
    </row>
    <row r="252" spans="1:11">
      <c r="A252" s="434" t="s">
        <v>1617</v>
      </c>
      <c r="B252" s="435" t="s">
        <v>1618</v>
      </c>
      <c r="D252" s="437" t="s">
        <v>3452</v>
      </c>
      <c r="E252" s="435"/>
      <c r="G252" s="437" t="s">
        <v>9588</v>
      </c>
      <c r="H252" s="435"/>
      <c r="J252" s="437" t="s">
        <v>9136</v>
      </c>
      <c r="K252" s="435"/>
    </row>
    <row r="253" spans="1:11">
      <c r="A253" s="434" t="s">
        <v>1619</v>
      </c>
      <c r="B253" s="435" t="s">
        <v>1620</v>
      </c>
      <c r="D253" s="434" t="s">
        <v>1074</v>
      </c>
      <c r="E253" s="435" t="s">
        <v>3453</v>
      </c>
      <c r="G253" s="437" t="s">
        <v>9589</v>
      </c>
      <c r="H253" s="435"/>
      <c r="J253" s="437" t="s">
        <v>9137</v>
      </c>
      <c r="K253" s="435"/>
    </row>
    <row r="254" spans="1:11">
      <c r="A254" s="434" t="s">
        <v>1621</v>
      </c>
      <c r="B254" s="435" t="s">
        <v>1622</v>
      </c>
      <c r="D254" s="437" t="s">
        <v>3454</v>
      </c>
      <c r="E254" s="435"/>
      <c r="G254" s="437" t="s">
        <v>9590</v>
      </c>
      <c r="H254" s="435"/>
      <c r="J254" s="437" t="s">
        <v>9138</v>
      </c>
      <c r="K254" s="435"/>
    </row>
    <row r="255" spans="1:11">
      <c r="A255" s="437" t="s">
        <v>1623</v>
      </c>
      <c r="B255" s="435"/>
      <c r="D255" s="434" t="s">
        <v>3455</v>
      </c>
      <c r="E255" s="435" t="s">
        <v>3456</v>
      </c>
      <c r="G255" s="437" t="s">
        <v>9591</v>
      </c>
      <c r="H255" s="435"/>
      <c r="J255" s="437" t="s">
        <v>9139</v>
      </c>
      <c r="K255" s="435"/>
    </row>
    <row r="256" spans="1:11">
      <c r="A256" s="437" t="s">
        <v>1624</v>
      </c>
      <c r="B256" s="435"/>
      <c r="D256" s="434" t="s">
        <v>881</v>
      </c>
      <c r="E256" s="435" t="s">
        <v>3457</v>
      </c>
      <c r="G256" s="437" t="s">
        <v>9592</v>
      </c>
      <c r="H256" s="435"/>
      <c r="J256" s="437" t="s">
        <v>9140</v>
      </c>
      <c r="K256" s="435"/>
    </row>
    <row r="257" spans="1:11">
      <c r="A257" s="437" t="s">
        <v>1625</v>
      </c>
      <c r="B257" s="435"/>
      <c r="D257" s="434" t="s">
        <v>3458</v>
      </c>
      <c r="E257" s="435" t="s">
        <v>3459</v>
      </c>
      <c r="G257" s="434" t="s">
        <v>9593</v>
      </c>
      <c r="H257" s="435" t="s">
        <v>9594</v>
      </c>
      <c r="J257" s="437" t="s">
        <v>9141</v>
      </c>
      <c r="K257" s="435"/>
    </row>
    <row r="258" spans="1:11">
      <c r="A258" s="437" t="s">
        <v>1626</v>
      </c>
      <c r="B258" s="435"/>
      <c r="D258" s="434" t="s">
        <v>3460</v>
      </c>
      <c r="E258" s="435" t="s">
        <v>3461</v>
      </c>
      <c r="G258" s="437" t="s">
        <v>9595</v>
      </c>
      <c r="H258" s="435"/>
      <c r="J258" s="437" t="s">
        <v>9142</v>
      </c>
      <c r="K258" s="435"/>
    </row>
    <row r="259" spans="1:11">
      <c r="A259" s="434" t="s">
        <v>1627</v>
      </c>
      <c r="B259" s="435" t="s">
        <v>1628</v>
      </c>
      <c r="D259" s="437" t="s">
        <v>3462</v>
      </c>
      <c r="E259" s="435"/>
      <c r="G259" s="437" t="s">
        <v>9596</v>
      </c>
      <c r="H259" s="435"/>
      <c r="J259" s="437" t="s">
        <v>9143</v>
      </c>
      <c r="K259" s="435"/>
    </row>
    <row r="260" spans="1:11">
      <c r="A260" s="434" t="s">
        <v>1629</v>
      </c>
      <c r="B260" s="435" t="s">
        <v>1630</v>
      </c>
      <c r="D260" s="437" t="s">
        <v>3463</v>
      </c>
      <c r="E260" s="435"/>
      <c r="G260" s="434" t="s">
        <v>9597</v>
      </c>
      <c r="H260" s="435" t="s">
        <v>9598</v>
      </c>
      <c r="J260" s="437" t="s">
        <v>9144</v>
      </c>
      <c r="K260" s="435"/>
    </row>
    <row r="261" spans="1:11">
      <c r="A261" s="434" t="s">
        <v>1631</v>
      </c>
      <c r="B261" s="435" t="s">
        <v>1630</v>
      </c>
      <c r="D261" s="434" t="s">
        <v>793</v>
      </c>
      <c r="E261" s="435" t="s">
        <v>3464</v>
      </c>
      <c r="G261" s="434" t="s">
        <v>9599</v>
      </c>
      <c r="H261" s="435" t="s">
        <v>9598</v>
      </c>
      <c r="J261" s="434" t="s">
        <v>9145</v>
      </c>
      <c r="K261" s="435" t="s">
        <v>9146</v>
      </c>
    </row>
    <row r="262" spans="1:11">
      <c r="A262" s="437" t="s">
        <v>1632</v>
      </c>
      <c r="B262" s="435"/>
      <c r="D262" s="434" t="s">
        <v>3465</v>
      </c>
      <c r="E262" s="435" t="s">
        <v>3464</v>
      </c>
      <c r="G262" s="434" t="s">
        <v>9600</v>
      </c>
      <c r="H262" s="435" t="s">
        <v>9601</v>
      </c>
      <c r="J262" s="437" t="s">
        <v>9147</v>
      </c>
      <c r="K262" s="435"/>
    </row>
    <row r="263" spans="1:11">
      <c r="A263" s="437" t="s">
        <v>1633</v>
      </c>
      <c r="B263" s="435"/>
      <c r="D263" s="434" t="s">
        <v>794</v>
      </c>
      <c r="E263" s="435" t="s">
        <v>3466</v>
      </c>
      <c r="G263" s="437" t="s">
        <v>9602</v>
      </c>
      <c r="H263" s="435"/>
      <c r="J263" s="437" t="s">
        <v>9148</v>
      </c>
      <c r="K263" s="435"/>
    </row>
    <row r="264" spans="1:11">
      <c r="A264" s="437" t="s">
        <v>1634</v>
      </c>
      <c r="B264" s="435"/>
      <c r="D264" s="437" t="s">
        <v>3467</v>
      </c>
      <c r="E264" s="435"/>
      <c r="G264" s="437" t="s">
        <v>9603</v>
      </c>
      <c r="H264" s="435"/>
      <c r="J264" s="437" t="s">
        <v>9149</v>
      </c>
      <c r="K264" s="435"/>
    </row>
    <row r="265" spans="1:11">
      <c r="A265" s="437" t="s">
        <v>1635</v>
      </c>
      <c r="B265" s="435"/>
      <c r="D265" s="434" t="s">
        <v>3468</v>
      </c>
      <c r="E265" s="435" t="s">
        <v>3469</v>
      </c>
      <c r="G265" s="437" t="s">
        <v>9604</v>
      </c>
      <c r="H265" s="435"/>
      <c r="J265" s="437" t="s">
        <v>9150</v>
      </c>
      <c r="K265" s="435"/>
    </row>
    <row r="266" spans="1:11">
      <c r="A266" s="437" t="s">
        <v>1636</v>
      </c>
      <c r="B266" s="435"/>
      <c r="D266" s="437" t="s">
        <v>3470</v>
      </c>
      <c r="E266" s="435"/>
      <c r="G266" s="437" t="s">
        <v>9605</v>
      </c>
      <c r="H266" s="435"/>
      <c r="J266" s="437" t="s">
        <v>9151</v>
      </c>
      <c r="K266" s="435"/>
    </row>
    <row r="267" spans="1:11">
      <c r="A267" s="437" t="s">
        <v>1637</v>
      </c>
      <c r="B267" s="435"/>
      <c r="D267" s="437" t="s">
        <v>3471</v>
      </c>
      <c r="E267" s="435"/>
      <c r="G267" s="437" t="s">
        <v>9606</v>
      </c>
      <c r="H267" s="435"/>
      <c r="J267" s="437" t="s">
        <v>9152</v>
      </c>
      <c r="K267" s="435"/>
    </row>
    <row r="268" spans="1:11">
      <c r="A268" s="437" t="s">
        <v>1638</v>
      </c>
      <c r="B268" s="435"/>
      <c r="D268" s="437" t="s">
        <v>3472</v>
      </c>
      <c r="E268" s="435"/>
      <c r="G268" s="434" t="s">
        <v>9607</v>
      </c>
      <c r="H268" s="435" t="s">
        <v>9608</v>
      </c>
      <c r="J268" s="437" t="s">
        <v>9153</v>
      </c>
      <c r="K268" s="435"/>
    </row>
    <row r="269" spans="1:11">
      <c r="A269" s="437" t="s">
        <v>1639</v>
      </c>
      <c r="B269" s="435"/>
      <c r="D269" s="437" t="s">
        <v>3473</v>
      </c>
      <c r="E269" s="435"/>
      <c r="G269" s="434" t="s">
        <v>9609</v>
      </c>
      <c r="H269" s="435" t="s">
        <v>9608</v>
      </c>
      <c r="J269" s="437" t="s">
        <v>9153</v>
      </c>
      <c r="K269" s="435"/>
    </row>
    <row r="270" spans="1:11">
      <c r="A270" s="437" t="s">
        <v>1640</v>
      </c>
      <c r="B270" s="435"/>
      <c r="D270" s="437" t="s">
        <v>3474</v>
      </c>
      <c r="E270" s="435"/>
      <c r="G270" s="437" t="s">
        <v>9610</v>
      </c>
      <c r="H270" s="435"/>
      <c r="J270" s="434" t="s">
        <v>11081</v>
      </c>
      <c r="K270" s="435" t="s">
        <v>11082</v>
      </c>
    </row>
    <row r="271" spans="1:11">
      <c r="A271" s="437" t="s">
        <v>1641</v>
      </c>
      <c r="B271" s="435"/>
      <c r="D271" s="434" t="s">
        <v>3475</v>
      </c>
      <c r="E271" s="435" t="s">
        <v>3476</v>
      </c>
      <c r="G271" s="437" t="s">
        <v>9611</v>
      </c>
      <c r="H271" s="435"/>
      <c r="J271" s="434" t="s">
        <v>11083</v>
      </c>
      <c r="K271" s="435" t="s">
        <v>11082</v>
      </c>
    </row>
    <row r="272" spans="1:11">
      <c r="A272" s="437" t="s">
        <v>1642</v>
      </c>
      <c r="B272" s="435"/>
      <c r="D272" s="434" t="s">
        <v>3477</v>
      </c>
      <c r="E272" s="435" t="s">
        <v>3476</v>
      </c>
      <c r="G272" s="434" t="s">
        <v>9612</v>
      </c>
      <c r="H272" s="435" t="s">
        <v>9613</v>
      </c>
      <c r="J272" s="437" t="s">
        <v>11084</v>
      </c>
      <c r="K272" s="435"/>
    </row>
    <row r="273" spans="1:11">
      <c r="A273" s="437" t="s">
        <v>1643</v>
      </c>
      <c r="B273" s="435"/>
      <c r="D273" s="437" t="s">
        <v>3478</v>
      </c>
      <c r="E273" s="435"/>
      <c r="G273" s="437" t="s">
        <v>9614</v>
      </c>
      <c r="H273" s="435"/>
      <c r="J273" s="437" t="s">
        <v>11085</v>
      </c>
      <c r="K273" s="435"/>
    </row>
    <row r="274" spans="1:11">
      <c r="A274" s="437" t="s">
        <v>1644</v>
      </c>
      <c r="B274" s="435"/>
      <c r="D274" s="437" t="s">
        <v>3479</v>
      </c>
      <c r="E274" s="435"/>
      <c r="G274" s="437" t="s">
        <v>9615</v>
      </c>
      <c r="H274" s="435"/>
      <c r="J274" s="437" t="s">
        <v>11086</v>
      </c>
      <c r="K274" s="435"/>
    </row>
    <row r="275" spans="1:11">
      <c r="A275" s="437" t="s">
        <v>1645</v>
      </c>
      <c r="B275" s="435"/>
      <c r="D275" s="437" t="s">
        <v>3480</v>
      </c>
      <c r="E275" s="435"/>
      <c r="G275" s="434" t="s">
        <v>4498</v>
      </c>
      <c r="H275" s="435" t="s">
        <v>4499</v>
      </c>
      <c r="J275" s="437" t="s">
        <v>11087</v>
      </c>
      <c r="K275" s="435"/>
    </row>
    <row r="276" spans="1:11">
      <c r="A276" s="437" t="s">
        <v>1646</v>
      </c>
      <c r="B276" s="435"/>
      <c r="D276" s="437" t="s">
        <v>3481</v>
      </c>
      <c r="E276" s="435"/>
      <c r="G276" s="437" t="s">
        <v>4500</v>
      </c>
      <c r="H276" s="435"/>
      <c r="J276" s="437" t="s">
        <v>11088</v>
      </c>
      <c r="K276" s="435"/>
    </row>
    <row r="277" spans="1:11">
      <c r="A277" s="434" t="s">
        <v>1647</v>
      </c>
      <c r="B277" s="435" t="s">
        <v>1648</v>
      </c>
      <c r="D277" s="437" t="s">
        <v>3482</v>
      </c>
      <c r="E277" s="435"/>
      <c r="G277" s="437" t="s">
        <v>4501</v>
      </c>
      <c r="H277" s="435"/>
      <c r="J277" s="437" t="s">
        <v>11089</v>
      </c>
      <c r="K277" s="435"/>
    </row>
    <row r="278" spans="1:11">
      <c r="A278" s="437" t="s">
        <v>1649</v>
      </c>
      <c r="B278" s="435"/>
      <c r="D278" s="437" t="s">
        <v>3483</v>
      </c>
      <c r="E278" s="435"/>
      <c r="G278" s="437" t="s">
        <v>4502</v>
      </c>
      <c r="H278" s="435"/>
      <c r="J278" s="434" t="s">
        <v>11090</v>
      </c>
      <c r="K278" s="435" t="s">
        <v>11082</v>
      </c>
    </row>
    <row r="279" spans="1:11">
      <c r="A279" s="434" t="s">
        <v>1650</v>
      </c>
      <c r="B279" s="435" t="s">
        <v>1651</v>
      </c>
      <c r="D279" s="437" t="s">
        <v>3484</v>
      </c>
      <c r="E279" s="435"/>
      <c r="G279" s="437" t="s">
        <v>4503</v>
      </c>
      <c r="H279" s="435"/>
      <c r="J279" s="437" t="s">
        <v>11091</v>
      </c>
      <c r="K279" s="435"/>
    </row>
    <row r="280" spans="1:11">
      <c r="A280" s="434" t="s">
        <v>1652</v>
      </c>
      <c r="B280" s="435" t="s">
        <v>1653</v>
      </c>
      <c r="D280" s="437" t="s">
        <v>3485</v>
      </c>
      <c r="E280" s="435"/>
      <c r="G280" s="437" t="s">
        <v>4504</v>
      </c>
      <c r="H280" s="435"/>
      <c r="J280" s="437" t="s">
        <v>11092</v>
      </c>
      <c r="K280" s="435"/>
    </row>
    <row r="281" spans="1:11">
      <c r="A281" s="434" t="s">
        <v>36</v>
      </c>
      <c r="B281" s="435" t="s">
        <v>1654</v>
      </c>
      <c r="D281" s="437" t="s">
        <v>3486</v>
      </c>
      <c r="E281" s="435"/>
      <c r="G281" s="434" t="s">
        <v>1229</v>
      </c>
      <c r="H281" s="435" t="s">
        <v>4522</v>
      </c>
      <c r="J281" s="437" t="s">
        <v>11093</v>
      </c>
      <c r="K281" s="435"/>
    </row>
    <row r="282" spans="1:11">
      <c r="A282" s="434" t="s">
        <v>1655</v>
      </c>
      <c r="B282" s="435" t="s">
        <v>1656</v>
      </c>
      <c r="D282" s="437" t="s">
        <v>3487</v>
      </c>
      <c r="E282" s="435"/>
      <c r="G282" s="434" t="s">
        <v>4523</v>
      </c>
      <c r="H282" s="435" t="s">
        <v>4522</v>
      </c>
      <c r="J282" s="437" t="s">
        <v>11094</v>
      </c>
      <c r="K282" s="435"/>
    </row>
    <row r="283" spans="1:11">
      <c r="A283" s="437" t="s">
        <v>1657</v>
      </c>
      <c r="B283" s="435"/>
      <c r="D283" s="437" t="s">
        <v>3488</v>
      </c>
      <c r="E283" s="435"/>
      <c r="G283" s="437" t="s">
        <v>4524</v>
      </c>
      <c r="H283" s="435"/>
      <c r="J283" s="434" t="s">
        <v>11095</v>
      </c>
      <c r="K283" s="435" t="s">
        <v>11096</v>
      </c>
    </row>
    <row r="284" spans="1:11">
      <c r="A284" s="434" t="s">
        <v>1658</v>
      </c>
      <c r="B284" s="435" t="s">
        <v>1659</v>
      </c>
      <c r="D284" s="437" t="s">
        <v>3489</v>
      </c>
      <c r="E284" s="435"/>
      <c r="G284" s="434" t="s">
        <v>9616</v>
      </c>
      <c r="H284" s="435" t="s">
        <v>9617</v>
      </c>
      <c r="J284" s="434" t="s">
        <v>11097</v>
      </c>
      <c r="K284" s="435" t="s">
        <v>11096</v>
      </c>
    </row>
    <row r="285" spans="1:11">
      <c r="A285" s="437" t="s">
        <v>1660</v>
      </c>
      <c r="B285" s="435"/>
      <c r="D285" s="437" t="s">
        <v>3490</v>
      </c>
      <c r="E285" s="435"/>
      <c r="G285" s="437" t="s">
        <v>9618</v>
      </c>
      <c r="H285" s="435"/>
      <c r="J285" s="437" t="s">
        <v>11098</v>
      </c>
      <c r="K285" s="435"/>
    </row>
    <row r="286" spans="1:11">
      <c r="A286" s="434" t="s">
        <v>1661</v>
      </c>
      <c r="B286" s="435" t="s">
        <v>1662</v>
      </c>
      <c r="D286" s="434" t="s">
        <v>3491</v>
      </c>
      <c r="E286" s="435" t="s">
        <v>3492</v>
      </c>
      <c r="G286" s="434" t="s">
        <v>268</v>
      </c>
      <c r="H286" s="435" t="s">
        <v>9619</v>
      </c>
      <c r="J286" s="437" t="s">
        <v>11099</v>
      </c>
      <c r="K286" s="435"/>
    </row>
    <row r="287" spans="1:11">
      <c r="A287" s="437" t="s">
        <v>1663</v>
      </c>
      <c r="B287" s="435"/>
      <c r="D287" s="437" t="s">
        <v>3493</v>
      </c>
      <c r="E287" s="435"/>
      <c r="G287" s="437" t="s">
        <v>9620</v>
      </c>
      <c r="H287" s="435"/>
      <c r="J287" s="437" t="s">
        <v>11100</v>
      </c>
      <c r="K287" s="435"/>
    </row>
    <row r="288" spans="1:11">
      <c r="A288" s="437" t="s">
        <v>1664</v>
      </c>
      <c r="B288" s="435"/>
      <c r="D288" s="437" t="s">
        <v>3494</v>
      </c>
      <c r="E288" s="435"/>
      <c r="G288" s="434" t="s">
        <v>4601</v>
      </c>
      <c r="H288" s="435" t="s">
        <v>4602</v>
      </c>
      <c r="J288" s="434" t="s">
        <v>11101</v>
      </c>
      <c r="K288" s="435" t="s">
        <v>11102</v>
      </c>
    </row>
    <row r="289" spans="1:11">
      <c r="A289" s="437" t="s">
        <v>1665</v>
      </c>
      <c r="B289" s="435"/>
      <c r="D289" s="437" t="s">
        <v>3495</v>
      </c>
      <c r="E289" s="435"/>
      <c r="G289" s="437" t="s">
        <v>4603</v>
      </c>
      <c r="H289" s="435"/>
      <c r="J289" s="437" t="s">
        <v>11103</v>
      </c>
      <c r="K289" s="435"/>
    </row>
    <row r="290" spans="1:11">
      <c r="A290" s="437" t="s">
        <v>1666</v>
      </c>
      <c r="B290" s="435"/>
      <c r="D290" s="437" t="s">
        <v>3496</v>
      </c>
      <c r="E290" s="435"/>
      <c r="G290" s="437" t="s">
        <v>4604</v>
      </c>
      <c r="H290" s="435"/>
      <c r="J290" s="437" t="s">
        <v>11104</v>
      </c>
      <c r="K290" s="435"/>
    </row>
    <row r="291" spans="1:11">
      <c r="A291" s="437" t="s">
        <v>1667</v>
      </c>
      <c r="B291" s="435"/>
      <c r="D291" s="437" t="s">
        <v>3497</v>
      </c>
      <c r="E291" s="435"/>
      <c r="G291" s="437" t="s">
        <v>4605</v>
      </c>
      <c r="H291" s="435"/>
      <c r="J291" s="437" t="s">
        <v>11105</v>
      </c>
      <c r="K291" s="435"/>
    </row>
    <row r="292" spans="1:11">
      <c r="A292" s="437" t="s">
        <v>1668</v>
      </c>
      <c r="B292" s="435"/>
      <c r="D292" s="437" t="s">
        <v>3498</v>
      </c>
      <c r="E292" s="435"/>
      <c r="G292" s="434" t="s">
        <v>9621</v>
      </c>
      <c r="H292" s="435" t="s">
        <v>9622</v>
      </c>
      <c r="J292" s="437" t="s">
        <v>11106</v>
      </c>
      <c r="K292" s="435"/>
    </row>
    <row r="293" spans="1:11">
      <c r="A293" s="434" t="s">
        <v>1669</v>
      </c>
      <c r="B293" s="435" t="s">
        <v>1670</v>
      </c>
      <c r="D293" s="437" t="s">
        <v>3499</v>
      </c>
      <c r="E293" s="435"/>
      <c r="G293" s="437" t="s">
        <v>9623</v>
      </c>
      <c r="H293" s="435"/>
      <c r="J293" s="437" t="s">
        <v>11107</v>
      </c>
      <c r="K293" s="435"/>
    </row>
    <row r="294" spans="1:11">
      <c r="A294" s="434" t="s">
        <v>1671</v>
      </c>
      <c r="B294" s="435" t="s">
        <v>1670</v>
      </c>
      <c r="D294" s="437" t="s">
        <v>3500</v>
      </c>
      <c r="E294" s="435"/>
      <c r="G294" s="437" t="s">
        <v>9624</v>
      </c>
      <c r="H294" s="435"/>
      <c r="J294" s="434" t="s">
        <v>11108</v>
      </c>
      <c r="K294" s="435" t="s">
        <v>11109</v>
      </c>
    </row>
    <row r="295" spans="1:11">
      <c r="A295" s="434" t="s">
        <v>1672</v>
      </c>
      <c r="B295" s="435" t="s">
        <v>1670</v>
      </c>
      <c r="D295" s="437" t="s">
        <v>3501</v>
      </c>
      <c r="E295" s="435"/>
      <c r="G295" s="434" t="s">
        <v>9625</v>
      </c>
      <c r="H295" s="435" t="s">
        <v>9619</v>
      </c>
      <c r="J295" s="437" t="s">
        <v>11110</v>
      </c>
      <c r="K295" s="435"/>
    </row>
    <row r="296" spans="1:11">
      <c r="A296" s="437" t="s">
        <v>1673</v>
      </c>
      <c r="B296" s="435"/>
      <c r="D296" s="437" t="s">
        <v>3502</v>
      </c>
      <c r="E296" s="435"/>
      <c r="G296" s="437" t="s">
        <v>9626</v>
      </c>
      <c r="H296" s="435"/>
      <c r="J296" s="437" t="s">
        <v>11111</v>
      </c>
      <c r="K296" s="435"/>
    </row>
    <row r="297" spans="1:11">
      <c r="A297" s="434" t="s">
        <v>40</v>
      </c>
      <c r="B297" s="435" t="s">
        <v>1674</v>
      </c>
      <c r="D297" s="437" t="s">
        <v>3503</v>
      </c>
      <c r="E297" s="435"/>
      <c r="G297" s="437" t="s">
        <v>9627</v>
      </c>
      <c r="H297" s="435"/>
      <c r="J297" s="437" t="s">
        <v>11112</v>
      </c>
      <c r="K297" s="435"/>
    </row>
    <row r="298" spans="1:11">
      <c r="A298" s="437" t="s">
        <v>1675</v>
      </c>
      <c r="B298" s="435"/>
      <c r="D298" s="437" t="s">
        <v>3504</v>
      </c>
      <c r="E298" s="435"/>
      <c r="G298" s="437" t="s">
        <v>9628</v>
      </c>
      <c r="H298" s="435"/>
      <c r="J298" s="437" t="s">
        <v>11113</v>
      </c>
      <c r="K298" s="435"/>
    </row>
    <row r="299" spans="1:11">
      <c r="A299" s="437" t="s">
        <v>1676</v>
      </c>
      <c r="B299" s="435"/>
      <c r="D299" s="437" t="s">
        <v>3505</v>
      </c>
      <c r="E299" s="435"/>
      <c r="G299" s="434" t="s">
        <v>9629</v>
      </c>
      <c r="H299" s="435" t="s">
        <v>9630</v>
      </c>
      <c r="J299" s="434" t="s">
        <v>11114</v>
      </c>
      <c r="K299" s="435" t="s">
        <v>11115</v>
      </c>
    </row>
    <row r="300" spans="1:11">
      <c r="A300" s="434" t="s">
        <v>41</v>
      </c>
      <c r="B300" s="435" t="s">
        <v>1677</v>
      </c>
      <c r="D300" s="437" t="s">
        <v>3506</v>
      </c>
      <c r="E300" s="435"/>
      <c r="G300" s="437" t="s">
        <v>9631</v>
      </c>
      <c r="H300" s="435"/>
      <c r="J300" s="437" t="s">
        <v>11116</v>
      </c>
      <c r="K300" s="435"/>
    </row>
    <row r="301" spans="1:11">
      <c r="A301" s="437" t="s">
        <v>1678</v>
      </c>
      <c r="B301" s="435"/>
      <c r="D301" s="437" t="s">
        <v>3507</v>
      </c>
      <c r="E301" s="435"/>
      <c r="G301" s="437" t="s">
        <v>9632</v>
      </c>
      <c r="H301" s="435"/>
      <c r="J301" s="437" t="s">
        <v>11117</v>
      </c>
      <c r="K301" s="435"/>
    </row>
    <row r="302" spans="1:11">
      <c r="A302" s="434" t="s">
        <v>1679</v>
      </c>
      <c r="B302" s="435" t="s">
        <v>1680</v>
      </c>
      <c r="D302" s="434" t="s">
        <v>3508</v>
      </c>
      <c r="E302" s="435" t="s">
        <v>3509</v>
      </c>
      <c r="G302" s="434" t="s">
        <v>9633</v>
      </c>
      <c r="H302" s="435" t="s">
        <v>9634</v>
      </c>
      <c r="J302" s="437" t="s">
        <v>11118</v>
      </c>
      <c r="K302" s="435"/>
    </row>
    <row r="303" spans="1:11">
      <c r="A303" s="437" t="s">
        <v>1681</v>
      </c>
      <c r="B303" s="435"/>
      <c r="D303" s="434" t="s">
        <v>3510</v>
      </c>
      <c r="E303" s="435" t="s">
        <v>3509</v>
      </c>
      <c r="G303" s="434" t="s">
        <v>269</v>
      </c>
      <c r="H303" s="435" t="s">
        <v>9635</v>
      </c>
      <c r="J303" s="437" t="s">
        <v>11119</v>
      </c>
      <c r="K303" s="435"/>
    </row>
    <row r="304" spans="1:11">
      <c r="A304" s="437" t="s">
        <v>1682</v>
      </c>
      <c r="B304" s="435"/>
      <c r="D304" s="437" t="s">
        <v>3511</v>
      </c>
      <c r="E304" s="435"/>
      <c r="G304" s="434" t="s">
        <v>9636</v>
      </c>
      <c r="H304" s="435" t="s">
        <v>9635</v>
      </c>
    </row>
    <row r="305" spans="1:8">
      <c r="A305" s="434" t="s">
        <v>42</v>
      </c>
      <c r="B305" s="435" t="s">
        <v>1683</v>
      </c>
      <c r="D305" s="437" t="s">
        <v>3512</v>
      </c>
      <c r="E305" s="435"/>
      <c r="G305" s="437" t="s">
        <v>9637</v>
      </c>
      <c r="H305" s="435"/>
    </row>
    <row r="306" spans="1:8">
      <c r="A306" s="437" t="s">
        <v>1684</v>
      </c>
      <c r="B306" s="435"/>
      <c r="D306" s="437" t="s">
        <v>3513</v>
      </c>
      <c r="E306" s="435"/>
      <c r="G306" s="437" t="s">
        <v>9638</v>
      </c>
      <c r="H306" s="435"/>
    </row>
    <row r="307" spans="1:8">
      <c r="A307" s="437" t="s">
        <v>1685</v>
      </c>
      <c r="B307" s="435"/>
      <c r="D307" s="437" t="s">
        <v>3514</v>
      </c>
      <c r="E307" s="435"/>
      <c r="G307" s="437" t="s">
        <v>9639</v>
      </c>
      <c r="H307" s="435"/>
    </row>
    <row r="308" spans="1:8">
      <c r="A308" s="434" t="s">
        <v>1686</v>
      </c>
      <c r="B308" s="435" t="s">
        <v>1687</v>
      </c>
      <c r="D308" s="437" t="s">
        <v>3515</v>
      </c>
      <c r="E308" s="435"/>
      <c r="G308" s="437" t="s">
        <v>9640</v>
      </c>
      <c r="H308" s="435"/>
    </row>
    <row r="309" spans="1:8">
      <c r="A309" s="434" t="s">
        <v>1688</v>
      </c>
      <c r="B309" s="435" t="s">
        <v>1689</v>
      </c>
      <c r="D309" s="437" t="s">
        <v>3516</v>
      </c>
      <c r="E309" s="435"/>
      <c r="G309" s="437" t="s">
        <v>9641</v>
      </c>
      <c r="H309" s="435"/>
    </row>
    <row r="310" spans="1:8">
      <c r="A310" s="434" t="s">
        <v>1690</v>
      </c>
      <c r="B310" s="435" t="s">
        <v>1691</v>
      </c>
      <c r="D310" s="437" t="s">
        <v>3517</v>
      </c>
      <c r="E310" s="435"/>
      <c r="G310" s="437" t="s">
        <v>9642</v>
      </c>
      <c r="H310" s="435"/>
    </row>
    <row r="311" spans="1:8">
      <c r="A311" s="437" t="s">
        <v>1692</v>
      </c>
      <c r="B311" s="435"/>
      <c r="D311" s="437" t="s">
        <v>3518</v>
      </c>
      <c r="E311" s="435"/>
      <c r="G311" s="437" t="s">
        <v>9643</v>
      </c>
      <c r="H311" s="435"/>
    </row>
    <row r="312" spans="1:8">
      <c r="A312" s="437" t="s">
        <v>1693</v>
      </c>
      <c r="B312" s="435"/>
      <c r="D312" s="437" t="s">
        <v>3519</v>
      </c>
      <c r="E312" s="435"/>
      <c r="G312" s="437" t="s">
        <v>9644</v>
      </c>
      <c r="H312" s="435"/>
    </row>
    <row r="313" spans="1:8">
      <c r="A313" s="437" t="s">
        <v>1694</v>
      </c>
      <c r="B313" s="435"/>
      <c r="D313" s="437" t="s">
        <v>3520</v>
      </c>
      <c r="E313" s="435"/>
      <c r="G313" s="437" t="s">
        <v>9645</v>
      </c>
      <c r="H313" s="435"/>
    </row>
    <row r="314" spans="1:8">
      <c r="A314" s="437" t="s">
        <v>1695</v>
      </c>
      <c r="B314" s="435"/>
      <c r="D314" s="437" t="s">
        <v>3521</v>
      </c>
      <c r="E314" s="435"/>
      <c r="G314" s="437" t="s">
        <v>9646</v>
      </c>
      <c r="H314" s="435"/>
    </row>
    <row r="315" spans="1:8">
      <c r="A315" s="434" t="s">
        <v>43</v>
      </c>
      <c r="B315" s="435" t="s">
        <v>1696</v>
      </c>
      <c r="D315" s="437" t="s">
        <v>3522</v>
      </c>
      <c r="E315" s="435"/>
      <c r="G315" s="437" t="s">
        <v>9647</v>
      </c>
      <c r="H315" s="435"/>
    </row>
    <row r="316" spans="1:8">
      <c r="A316" s="434" t="s">
        <v>1697</v>
      </c>
      <c r="B316" s="435" t="s">
        <v>1698</v>
      </c>
      <c r="D316" s="437" t="s">
        <v>3523</v>
      </c>
      <c r="E316" s="435"/>
      <c r="G316" s="437" t="s">
        <v>9648</v>
      </c>
      <c r="H316" s="435"/>
    </row>
    <row r="317" spans="1:8">
      <c r="A317" s="434" t="s">
        <v>1699</v>
      </c>
      <c r="B317" s="435" t="s">
        <v>1700</v>
      </c>
      <c r="D317" s="437" t="s">
        <v>3524</v>
      </c>
      <c r="E317" s="435"/>
      <c r="G317" s="437" t="s">
        <v>9649</v>
      </c>
      <c r="H317" s="435"/>
    </row>
    <row r="318" spans="1:8">
      <c r="A318" s="437" t="s">
        <v>1701</v>
      </c>
      <c r="B318" s="435"/>
      <c r="D318" s="437" t="s">
        <v>3525</v>
      </c>
      <c r="E318" s="435"/>
      <c r="G318" s="437" t="s">
        <v>9650</v>
      </c>
      <c r="H318" s="435"/>
    </row>
    <row r="319" spans="1:8">
      <c r="A319" s="437" t="s">
        <v>1702</v>
      </c>
      <c r="B319" s="435"/>
      <c r="D319" s="437" t="s">
        <v>3526</v>
      </c>
      <c r="E319" s="435"/>
      <c r="G319" s="437" t="s">
        <v>9651</v>
      </c>
      <c r="H319" s="435"/>
    </row>
    <row r="320" spans="1:8">
      <c r="A320" s="437" t="s">
        <v>1703</v>
      </c>
      <c r="B320" s="435"/>
      <c r="D320" s="437" t="s">
        <v>3527</v>
      </c>
      <c r="E320" s="435"/>
      <c r="G320" s="437" t="s">
        <v>9652</v>
      </c>
      <c r="H320" s="435"/>
    </row>
    <row r="321" spans="1:8">
      <c r="A321" s="437" t="s">
        <v>1704</v>
      </c>
      <c r="B321" s="435"/>
      <c r="D321" s="434" t="s">
        <v>3528</v>
      </c>
      <c r="E321" s="435" t="s">
        <v>3509</v>
      </c>
      <c r="G321" s="437" t="s">
        <v>9653</v>
      </c>
      <c r="H321" s="435"/>
    </row>
    <row r="322" spans="1:8">
      <c r="A322" s="434" t="s">
        <v>44</v>
      </c>
      <c r="B322" s="435" t="s">
        <v>1705</v>
      </c>
      <c r="D322" s="437" t="s">
        <v>3529</v>
      </c>
      <c r="E322" s="435"/>
      <c r="G322" s="437" t="s">
        <v>9654</v>
      </c>
      <c r="H322" s="435"/>
    </row>
    <row r="323" spans="1:8">
      <c r="A323" s="437" t="s">
        <v>1706</v>
      </c>
      <c r="B323" s="435"/>
      <c r="D323" s="437" t="s">
        <v>3530</v>
      </c>
      <c r="E323" s="435"/>
      <c r="G323" s="434" t="s">
        <v>9655</v>
      </c>
      <c r="H323" s="435" t="s">
        <v>9656</v>
      </c>
    </row>
    <row r="324" spans="1:8">
      <c r="A324" s="437" t="s">
        <v>1707</v>
      </c>
      <c r="B324" s="435"/>
      <c r="D324" s="437" t="s">
        <v>3531</v>
      </c>
      <c r="E324" s="435"/>
      <c r="G324" s="437" t="s">
        <v>9657</v>
      </c>
      <c r="H324" s="435"/>
    </row>
    <row r="325" spans="1:8">
      <c r="A325" s="434" t="s">
        <v>1708</v>
      </c>
      <c r="B325" s="435" t="s">
        <v>1709</v>
      </c>
      <c r="D325" s="437" t="s">
        <v>3532</v>
      </c>
      <c r="E325" s="435"/>
      <c r="G325" s="434" t="s">
        <v>9658</v>
      </c>
      <c r="H325" s="435" t="s">
        <v>9659</v>
      </c>
    </row>
    <row r="326" spans="1:8">
      <c r="A326" s="437" t="s">
        <v>1710</v>
      </c>
      <c r="B326" s="435"/>
      <c r="D326" s="434" t="s">
        <v>795</v>
      </c>
      <c r="E326" s="435" t="s">
        <v>3533</v>
      </c>
      <c r="G326" s="434" t="s">
        <v>9660</v>
      </c>
      <c r="H326" s="435" t="s">
        <v>9659</v>
      </c>
    </row>
    <row r="327" spans="1:8">
      <c r="A327" s="434" t="s">
        <v>1711</v>
      </c>
      <c r="B327" s="435" t="s">
        <v>1712</v>
      </c>
      <c r="D327" s="437" t="s">
        <v>3534</v>
      </c>
      <c r="E327" s="435"/>
      <c r="G327" s="437" t="s">
        <v>9661</v>
      </c>
      <c r="H327" s="435"/>
    </row>
    <row r="328" spans="1:8">
      <c r="A328" s="437" t="s">
        <v>1713</v>
      </c>
      <c r="B328" s="435"/>
      <c r="D328" s="437" t="s">
        <v>3535</v>
      </c>
      <c r="E328" s="435"/>
      <c r="G328" s="434" t="s">
        <v>9662</v>
      </c>
      <c r="H328" s="435" t="s">
        <v>9663</v>
      </c>
    </row>
    <row r="329" spans="1:8">
      <c r="A329" s="434" t="s">
        <v>45</v>
      </c>
      <c r="B329" s="435" t="s">
        <v>1714</v>
      </c>
      <c r="D329" s="437" t="s">
        <v>3536</v>
      </c>
      <c r="E329" s="435"/>
      <c r="G329" s="437" t="s">
        <v>9664</v>
      </c>
      <c r="H329" s="435"/>
    </row>
    <row r="330" spans="1:8">
      <c r="A330" s="437" t="s">
        <v>1715</v>
      </c>
      <c r="B330" s="435"/>
      <c r="D330" s="437" t="s">
        <v>3537</v>
      </c>
      <c r="E330" s="435"/>
      <c r="G330" s="437" t="s">
        <v>9665</v>
      </c>
      <c r="H330" s="435"/>
    </row>
    <row r="331" spans="1:8">
      <c r="A331" s="434" t="s">
        <v>46</v>
      </c>
      <c r="B331" s="435" t="s">
        <v>1716</v>
      </c>
      <c r="D331" s="437" t="s">
        <v>3538</v>
      </c>
      <c r="E331" s="435"/>
      <c r="G331" s="437" t="s">
        <v>9666</v>
      </c>
      <c r="H331" s="435"/>
    </row>
    <row r="332" spans="1:8">
      <c r="A332" s="434" t="s">
        <v>1717</v>
      </c>
      <c r="B332" s="435" t="s">
        <v>1718</v>
      </c>
      <c r="D332" s="437" t="s">
        <v>3539</v>
      </c>
      <c r="E332" s="435"/>
      <c r="G332" s="437" t="s">
        <v>9667</v>
      </c>
      <c r="H332" s="435"/>
    </row>
    <row r="333" spans="1:8">
      <c r="A333" s="437" t="s">
        <v>1719</v>
      </c>
      <c r="B333" s="435"/>
      <c r="D333" s="437" t="s">
        <v>3540</v>
      </c>
      <c r="E333" s="435"/>
      <c r="G333" s="437" t="s">
        <v>9668</v>
      </c>
      <c r="H333" s="435"/>
    </row>
    <row r="334" spans="1:8">
      <c r="A334" s="434" t="s">
        <v>1720</v>
      </c>
      <c r="B334" s="435" t="s">
        <v>1721</v>
      </c>
      <c r="D334" s="437" t="s">
        <v>3541</v>
      </c>
      <c r="E334" s="435"/>
      <c r="G334" s="437" t="s">
        <v>9669</v>
      </c>
      <c r="H334" s="435"/>
    </row>
    <row r="335" spans="1:8">
      <c r="A335" s="434" t="s">
        <v>1722</v>
      </c>
      <c r="B335" s="435" t="s">
        <v>1723</v>
      </c>
      <c r="D335" s="434" t="s">
        <v>3542</v>
      </c>
      <c r="E335" s="435" t="s">
        <v>3543</v>
      </c>
      <c r="G335" s="437" t="s">
        <v>9670</v>
      </c>
      <c r="H335" s="435"/>
    </row>
    <row r="336" spans="1:8">
      <c r="A336" s="437" t="s">
        <v>1724</v>
      </c>
      <c r="B336" s="435"/>
      <c r="D336" s="437" t="s">
        <v>3544</v>
      </c>
      <c r="E336" s="435"/>
      <c r="G336" s="437" t="s">
        <v>9671</v>
      </c>
      <c r="H336" s="435"/>
    </row>
    <row r="337" spans="1:8">
      <c r="A337" s="437" t="s">
        <v>1725</v>
      </c>
      <c r="B337" s="435"/>
      <c r="D337" s="437" t="s">
        <v>3545</v>
      </c>
      <c r="E337" s="435"/>
      <c r="G337" s="437" t="s">
        <v>9672</v>
      </c>
      <c r="H337" s="435"/>
    </row>
    <row r="338" spans="1:8">
      <c r="A338" s="434" t="s">
        <v>1726</v>
      </c>
      <c r="B338" s="435" t="s">
        <v>1727</v>
      </c>
      <c r="D338" s="434" t="s">
        <v>3546</v>
      </c>
      <c r="E338" s="435" t="s">
        <v>3547</v>
      </c>
      <c r="G338" s="437" t="s">
        <v>9673</v>
      </c>
      <c r="H338" s="435"/>
    </row>
    <row r="339" spans="1:8">
      <c r="A339" s="434" t="s">
        <v>1728</v>
      </c>
      <c r="B339" s="435" t="s">
        <v>1727</v>
      </c>
      <c r="D339" s="434" t="s">
        <v>3548</v>
      </c>
      <c r="E339" s="435" t="s">
        <v>3549</v>
      </c>
      <c r="G339" s="437" t="s">
        <v>9674</v>
      </c>
      <c r="H339" s="435"/>
    </row>
    <row r="340" spans="1:8">
      <c r="A340" s="437" t="s">
        <v>1729</v>
      </c>
      <c r="B340" s="435"/>
      <c r="D340" s="437" t="s">
        <v>3550</v>
      </c>
      <c r="E340" s="435"/>
      <c r="G340" s="434" t="s">
        <v>9675</v>
      </c>
      <c r="H340" s="435" t="s">
        <v>9676</v>
      </c>
    </row>
    <row r="341" spans="1:8">
      <c r="A341" s="434" t="s">
        <v>1730</v>
      </c>
      <c r="B341" s="435" t="s">
        <v>1727</v>
      </c>
      <c r="D341" s="437" t="s">
        <v>3551</v>
      </c>
      <c r="E341" s="435"/>
      <c r="G341" s="434" t="s">
        <v>9677</v>
      </c>
      <c r="H341" s="435" t="s">
        <v>9678</v>
      </c>
    </row>
    <row r="342" spans="1:8">
      <c r="A342" s="437" t="s">
        <v>1731</v>
      </c>
      <c r="B342" s="435"/>
      <c r="D342" s="437" t="s">
        <v>3552</v>
      </c>
      <c r="E342" s="435"/>
      <c r="G342" s="437" t="s">
        <v>9679</v>
      </c>
      <c r="H342" s="435"/>
    </row>
    <row r="343" spans="1:8">
      <c r="A343" s="437" t="s">
        <v>1732</v>
      </c>
      <c r="B343" s="435"/>
      <c r="D343" s="437" t="s">
        <v>3553</v>
      </c>
      <c r="E343" s="435"/>
      <c r="G343" s="437" t="s">
        <v>9680</v>
      </c>
      <c r="H343" s="435"/>
    </row>
    <row r="344" spans="1:8">
      <c r="A344" s="434" t="s">
        <v>1733</v>
      </c>
      <c r="B344" s="435" t="s">
        <v>1734</v>
      </c>
      <c r="D344" s="437" t="s">
        <v>3554</v>
      </c>
      <c r="E344" s="435"/>
      <c r="G344" s="437" t="s">
        <v>9681</v>
      </c>
      <c r="H344" s="435"/>
    </row>
    <row r="345" spans="1:8">
      <c r="A345" s="437" t="s">
        <v>1735</v>
      </c>
      <c r="B345" s="435"/>
      <c r="D345" s="437" t="s">
        <v>3555</v>
      </c>
      <c r="E345" s="435"/>
      <c r="G345" s="437" t="s">
        <v>9682</v>
      </c>
      <c r="H345" s="435"/>
    </row>
    <row r="346" spans="1:8">
      <c r="A346" s="437" t="s">
        <v>1736</v>
      </c>
      <c r="B346" s="435"/>
      <c r="D346" s="437" t="s">
        <v>3556</v>
      </c>
      <c r="E346" s="435"/>
      <c r="G346" s="437" t="s">
        <v>9683</v>
      </c>
      <c r="H346" s="435"/>
    </row>
    <row r="347" spans="1:8">
      <c r="A347" s="434" t="s">
        <v>1737</v>
      </c>
      <c r="B347" s="435" t="s">
        <v>1738</v>
      </c>
      <c r="D347" s="437" t="s">
        <v>3557</v>
      </c>
      <c r="E347" s="435"/>
      <c r="G347" s="437" t="s">
        <v>9684</v>
      </c>
      <c r="H347" s="435"/>
    </row>
    <row r="348" spans="1:8">
      <c r="A348" s="434" t="s">
        <v>1739</v>
      </c>
      <c r="B348" s="435" t="s">
        <v>1738</v>
      </c>
      <c r="D348" s="437" t="s">
        <v>3558</v>
      </c>
      <c r="E348" s="435"/>
      <c r="G348" s="437" t="s">
        <v>9685</v>
      </c>
      <c r="H348" s="435"/>
    </row>
    <row r="349" spans="1:8">
      <c r="A349" s="437" t="s">
        <v>1740</v>
      </c>
      <c r="B349" s="435"/>
      <c r="D349" s="437" t="s">
        <v>3559</v>
      </c>
      <c r="E349" s="435"/>
      <c r="G349" s="437" t="s">
        <v>9686</v>
      </c>
      <c r="H349" s="435"/>
    </row>
    <row r="350" spans="1:8">
      <c r="A350" s="434" t="s">
        <v>1741</v>
      </c>
      <c r="B350" s="435" t="s">
        <v>1742</v>
      </c>
      <c r="D350" s="437" t="s">
        <v>3560</v>
      </c>
      <c r="E350" s="435"/>
      <c r="G350" s="437" t="s">
        <v>9687</v>
      </c>
      <c r="H350" s="435"/>
    </row>
    <row r="351" spans="1:8">
      <c r="A351" s="434" t="s">
        <v>1743</v>
      </c>
      <c r="B351" s="435" t="s">
        <v>1744</v>
      </c>
      <c r="D351" s="437" t="s">
        <v>3561</v>
      </c>
      <c r="E351" s="435"/>
      <c r="G351" s="437" t="s">
        <v>9688</v>
      </c>
      <c r="H351" s="435"/>
    </row>
    <row r="352" spans="1:8">
      <c r="A352" s="434" t="s">
        <v>13</v>
      </c>
      <c r="B352" s="435" t="s">
        <v>1745</v>
      </c>
      <c r="D352" s="434" t="s">
        <v>3562</v>
      </c>
      <c r="E352" s="435" t="s">
        <v>3563</v>
      </c>
      <c r="G352" s="437" t="s">
        <v>9689</v>
      </c>
      <c r="H352" s="435"/>
    </row>
    <row r="353" spans="1:8">
      <c r="A353" s="437" t="s">
        <v>1746</v>
      </c>
      <c r="B353" s="435"/>
      <c r="D353" s="437" t="s">
        <v>3564</v>
      </c>
      <c r="E353" s="435"/>
      <c r="G353" s="437" t="s">
        <v>9690</v>
      </c>
      <c r="H353" s="435"/>
    </row>
    <row r="354" spans="1:8">
      <c r="A354" s="437" t="s">
        <v>1747</v>
      </c>
      <c r="B354" s="435"/>
      <c r="D354" s="437" t="s">
        <v>3565</v>
      </c>
      <c r="E354" s="435"/>
      <c r="G354" s="437" t="s">
        <v>9691</v>
      </c>
      <c r="H354" s="435"/>
    </row>
    <row r="355" spans="1:8">
      <c r="A355" s="434" t="s">
        <v>48</v>
      </c>
      <c r="B355" s="435" t="s">
        <v>1748</v>
      </c>
      <c r="D355" s="437" t="s">
        <v>3566</v>
      </c>
      <c r="E355" s="435"/>
      <c r="G355" s="437" t="s">
        <v>9692</v>
      </c>
      <c r="H355" s="435"/>
    </row>
    <row r="356" spans="1:8">
      <c r="A356" s="434" t="s">
        <v>1749</v>
      </c>
      <c r="B356" s="435" t="s">
        <v>1750</v>
      </c>
      <c r="D356" s="437" t="s">
        <v>3567</v>
      </c>
      <c r="E356" s="435"/>
      <c r="G356" s="437" t="s">
        <v>9693</v>
      </c>
      <c r="H356" s="435"/>
    </row>
    <row r="357" spans="1:8">
      <c r="A357" s="437" t="s">
        <v>1751</v>
      </c>
      <c r="B357" s="435"/>
      <c r="D357" s="437" t="s">
        <v>3568</v>
      </c>
      <c r="E357" s="435"/>
      <c r="G357" s="437" t="s">
        <v>9694</v>
      </c>
      <c r="H357" s="435"/>
    </row>
    <row r="358" spans="1:8">
      <c r="A358" s="434" t="s">
        <v>1752</v>
      </c>
      <c r="B358" s="435" t="s">
        <v>1753</v>
      </c>
      <c r="D358" s="437" t="s">
        <v>3569</v>
      </c>
      <c r="E358" s="435"/>
      <c r="G358" s="437" t="s">
        <v>9695</v>
      </c>
      <c r="H358" s="435"/>
    </row>
    <row r="359" spans="1:8">
      <c r="A359" s="437" t="s">
        <v>1754</v>
      </c>
      <c r="B359" s="435"/>
      <c r="D359" s="437" t="s">
        <v>3570</v>
      </c>
      <c r="E359" s="435"/>
      <c r="G359" s="437" t="s">
        <v>9696</v>
      </c>
      <c r="H359" s="435"/>
    </row>
    <row r="360" spans="1:8">
      <c r="A360" s="434" t="s">
        <v>1755</v>
      </c>
      <c r="B360" s="435" t="s">
        <v>1756</v>
      </c>
      <c r="D360" s="437" t="s">
        <v>3571</v>
      </c>
      <c r="E360" s="435"/>
      <c r="G360" s="437" t="s">
        <v>9697</v>
      </c>
      <c r="H360" s="435"/>
    </row>
    <row r="361" spans="1:8">
      <c r="A361" s="434" t="s">
        <v>49</v>
      </c>
      <c r="B361" s="435" t="s">
        <v>1757</v>
      </c>
      <c r="D361" s="437" t="s">
        <v>3572</v>
      </c>
      <c r="E361" s="435"/>
      <c r="G361" s="437" t="s">
        <v>9698</v>
      </c>
      <c r="H361" s="435"/>
    </row>
    <row r="362" spans="1:8">
      <c r="A362" s="434" t="s">
        <v>50</v>
      </c>
      <c r="B362" s="435" t="s">
        <v>1758</v>
      </c>
      <c r="D362" s="437" t="s">
        <v>3573</v>
      </c>
      <c r="E362" s="435"/>
      <c r="G362" s="437" t="s">
        <v>9699</v>
      </c>
      <c r="H362" s="435"/>
    </row>
    <row r="363" spans="1:8">
      <c r="A363" s="434" t="s">
        <v>1759</v>
      </c>
      <c r="B363" s="435" t="s">
        <v>1758</v>
      </c>
      <c r="D363" s="437" t="s">
        <v>3574</v>
      </c>
      <c r="E363" s="435"/>
      <c r="G363" s="437" t="s">
        <v>9700</v>
      </c>
      <c r="H363" s="435"/>
    </row>
    <row r="364" spans="1:8">
      <c r="A364" s="437" t="s">
        <v>1760</v>
      </c>
      <c r="B364" s="435"/>
      <c r="D364" s="437" t="s">
        <v>3575</v>
      </c>
      <c r="E364" s="435"/>
      <c r="G364" s="437" t="s">
        <v>9701</v>
      </c>
      <c r="H364" s="435"/>
    </row>
    <row r="365" spans="1:8">
      <c r="A365" s="434" t="s">
        <v>1761</v>
      </c>
      <c r="B365" s="435" t="s">
        <v>1758</v>
      </c>
      <c r="D365" s="437" t="s">
        <v>3576</v>
      </c>
      <c r="E365" s="435"/>
      <c r="G365" s="437" t="s">
        <v>9702</v>
      </c>
      <c r="H365" s="435"/>
    </row>
    <row r="366" spans="1:8">
      <c r="A366" s="434" t="s">
        <v>1762</v>
      </c>
      <c r="B366" s="435" t="s">
        <v>1763</v>
      </c>
      <c r="D366" s="437" t="s">
        <v>3577</v>
      </c>
      <c r="E366" s="435"/>
      <c r="G366" s="437" t="s">
        <v>9703</v>
      </c>
      <c r="H366" s="435"/>
    </row>
    <row r="367" spans="1:8">
      <c r="A367" s="434" t="s">
        <v>1764</v>
      </c>
      <c r="B367" s="435" t="s">
        <v>1765</v>
      </c>
      <c r="D367" s="437" t="s">
        <v>3578</v>
      </c>
      <c r="E367" s="435"/>
      <c r="G367" s="437" t="s">
        <v>9704</v>
      </c>
      <c r="H367" s="435"/>
    </row>
    <row r="368" spans="1:8">
      <c r="A368" s="434" t="s">
        <v>1766</v>
      </c>
      <c r="B368" s="435" t="s">
        <v>1767</v>
      </c>
      <c r="D368" s="434" t="s">
        <v>3579</v>
      </c>
      <c r="E368" s="435"/>
      <c r="G368" s="434" t="s">
        <v>9705</v>
      </c>
      <c r="H368" s="435" t="s">
        <v>9706</v>
      </c>
    </row>
    <row r="369" spans="1:8">
      <c r="A369" s="434" t="s">
        <v>1768</v>
      </c>
      <c r="B369" s="435" t="s">
        <v>1769</v>
      </c>
      <c r="D369" s="437" t="s">
        <v>3580</v>
      </c>
      <c r="E369" s="435"/>
      <c r="G369" s="434" t="s">
        <v>9707</v>
      </c>
      <c r="H369" s="435" t="s">
        <v>9708</v>
      </c>
    </row>
    <row r="370" spans="1:8">
      <c r="A370" s="437" t="s">
        <v>1770</v>
      </c>
      <c r="B370" s="435"/>
      <c r="D370" s="437" t="s">
        <v>3581</v>
      </c>
      <c r="E370" s="435"/>
      <c r="G370" s="437" t="s">
        <v>9709</v>
      </c>
      <c r="H370" s="435"/>
    </row>
    <row r="371" spans="1:8">
      <c r="A371" s="437" t="s">
        <v>1771</v>
      </c>
      <c r="B371" s="435"/>
      <c r="D371" s="437" t="s">
        <v>3582</v>
      </c>
      <c r="E371" s="435"/>
      <c r="G371" s="437" t="s">
        <v>9710</v>
      </c>
      <c r="H371" s="435"/>
    </row>
    <row r="372" spans="1:8">
      <c r="A372" s="437" t="s">
        <v>1772</v>
      </c>
      <c r="B372" s="435"/>
      <c r="D372" s="437" t="s">
        <v>3583</v>
      </c>
      <c r="E372" s="435"/>
      <c r="G372" s="437" t="s">
        <v>9711</v>
      </c>
      <c r="H372" s="435"/>
    </row>
    <row r="373" spans="1:8">
      <c r="A373" s="437" t="s">
        <v>1773</v>
      </c>
      <c r="B373" s="435"/>
      <c r="D373" s="437" t="s">
        <v>3584</v>
      </c>
      <c r="E373" s="435"/>
      <c r="G373" s="437" t="s">
        <v>9712</v>
      </c>
      <c r="H373" s="435"/>
    </row>
    <row r="374" spans="1:8">
      <c r="A374" s="434" t="s">
        <v>1774</v>
      </c>
      <c r="B374" s="435" t="s">
        <v>1775</v>
      </c>
      <c r="D374" s="437" t="s">
        <v>3585</v>
      </c>
      <c r="E374" s="435"/>
      <c r="G374" s="437" t="s">
        <v>9713</v>
      </c>
      <c r="H374" s="435"/>
    </row>
    <row r="375" spans="1:8">
      <c r="A375" s="434" t="s">
        <v>1776</v>
      </c>
      <c r="B375" s="435" t="s">
        <v>1777</v>
      </c>
      <c r="D375" s="437" t="s">
        <v>3586</v>
      </c>
      <c r="E375" s="435"/>
      <c r="G375" s="437" t="s">
        <v>9714</v>
      </c>
      <c r="H375" s="435"/>
    </row>
    <row r="376" spans="1:8">
      <c r="A376" s="437" t="s">
        <v>1530</v>
      </c>
      <c r="B376" s="435"/>
      <c r="D376" s="437" t="s">
        <v>3587</v>
      </c>
      <c r="E376" s="435"/>
      <c r="G376" s="437" t="s">
        <v>9715</v>
      </c>
      <c r="H376" s="435"/>
    </row>
    <row r="377" spans="1:8">
      <c r="A377" s="437" t="s">
        <v>1778</v>
      </c>
      <c r="B377" s="435"/>
      <c r="D377" s="434" t="s">
        <v>796</v>
      </c>
      <c r="E377" s="435" t="s">
        <v>3588</v>
      </c>
      <c r="G377" s="437" t="s">
        <v>9716</v>
      </c>
      <c r="H377" s="435"/>
    </row>
    <row r="378" spans="1:8">
      <c r="A378" s="437" t="s">
        <v>1779</v>
      </c>
      <c r="B378" s="435"/>
      <c r="D378" s="437" t="s">
        <v>3589</v>
      </c>
      <c r="E378" s="435"/>
      <c r="G378" s="437" t="s">
        <v>9717</v>
      </c>
      <c r="H378" s="435"/>
    </row>
    <row r="379" spans="1:8">
      <c r="A379" s="434" t="s">
        <v>1780</v>
      </c>
      <c r="B379" s="435" t="s">
        <v>1781</v>
      </c>
      <c r="D379" s="437" t="s">
        <v>3590</v>
      </c>
      <c r="E379" s="435"/>
      <c r="G379" s="437" t="s">
        <v>9718</v>
      </c>
      <c r="H379" s="435"/>
    </row>
    <row r="380" spans="1:8">
      <c r="A380" s="434" t="s">
        <v>1782</v>
      </c>
      <c r="B380" s="435" t="s">
        <v>1783</v>
      </c>
      <c r="D380" s="437" t="s">
        <v>3591</v>
      </c>
      <c r="E380" s="435"/>
      <c r="G380" s="437" t="s">
        <v>9719</v>
      </c>
      <c r="H380" s="435"/>
    </row>
    <row r="381" spans="1:8">
      <c r="A381" s="437" t="s">
        <v>1784</v>
      </c>
      <c r="B381" s="435"/>
      <c r="D381" s="437" t="s">
        <v>3592</v>
      </c>
      <c r="E381" s="435"/>
      <c r="G381" s="437" t="s">
        <v>9720</v>
      </c>
      <c r="H381" s="435"/>
    </row>
    <row r="382" spans="1:8">
      <c r="A382" s="437" t="s">
        <v>1785</v>
      </c>
      <c r="B382" s="435"/>
      <c r="D382" s="437" t="s">
        <v>3593</v>
      </c>
      <c r="E382" s="435"/>
      <c r="G382" s="437" t="s">
        <v>9721</v>
      </c>
      <c r="H382" s="435"/>
    </row>
    <row r="383" spans="1:8">
      <c r="A383" s="434" t="s">
        <v>53</v>
      </c>
      <c r="B383" s="435" t="s">
        <v>1786</v>
      </c>
      <c r="D383" s="437" t="s">
        <v>3594</v>
      </c>
      <c r="E383" s="435"/>
      <c r="G383" s="437" t="s">
        <v>9722</v>
      </c>
      <c r="H383" s="435"/>
    </row>
    <row r="384" spans="1:8">
      <c r="A384" s="437" t="s">
        <v>1787</v>
      </c>
      <c r="B384" s="435"/>
      <c r="D384" s="437" t="s">
        <v>3595</v>
      </c>
      <c r="E384" s="435"/>
      <c r="G384" s="437" t="s">
        <v>9723</v>
      </c>
      <c r="H384" s="435"/>
    </row>
    <row r="385" spans="1:8">
      <c r="A385" s="437" t="s">
        <v>1788</v>
      </c>
      <c r="B385" s="435"/>
      <c r="D385" s="437" t="s">
        <v>3596</v>
      </c>
      <c r="E385" s="435"/>
      <c r="G385" s="437" t="s">
        <v>9724</v>
      </c>
      <c r="H385" s="435"/>
    </row>
    <row r="386" spans="1:8">
      <c r="A386" s="437" t="s">
        <v>1789</v>
      </c>
      <c r="B386" s="435"/>
      <c r="D386" s="437" t="s">
        <v>3597</v>
      </c>
      <c r="E386" s="435"/>
      <c r="G386" s="437" t="s">
        <v>9725</v>
      </c>
      <c r="H386" s="435"/>
    </row>
    <row r="387" spans="1:8">
      <c r="A387" s="437" t="s">
        <v>1790</v>
      </c>
      <c r="B387" s="435"/>
      <c r="D387" s="434" t="s">
        <v>3598</v>
      </c>
      <c r="E387" s="435" t="s">
        <v>3599</v>
      </c>
      <c r="G387" s="437" t="s">
        <v>9726</v>
      </c>
      <c r="H387" s="435"/>
    </row>
    <row r="388" spans="1:8">
      <c r="A388" s="437" t="s">
        <v>1791</v>
      </c>
      <c r="B388" s="435"/>
      <c r="D388" s="434" t="s">
        <v>3600</v>
      </c>
      <c r="E388" s="435" t="s">
        <v>3601</v>
      </c>
      <c r="G388" s="437" t="s">
        <v>9727</v>
      </c>
      <c r="H388" s="435"/>
    </row>
    <row r="389" spans="1:8">
      <c r="A389" s="434" t="s">
        <v>1792</v>
      </c>
      <c r="B389" s="435" t="s">
        <v>1793</v>
      </c>
      <c r="D389" s="437" t="s">
        <v>3602</v>
      </c>
      <c r="E389" s="435"/>
      <c r="G389" s="437" t="s">
        <v>9728</v>
      </c>
      <c r="H389" s="435"/>
    </row>
    <row r="390" spans="1:8">
      <c r="A390" s="434" t="s">
        <v>1794</v>
      </c>
      <c r="B390" s="435" t="s">
        <v>1795</v>
      </c>
      <c r="D390" s="437" t="s">
        <v>3603</v>
      </c>
      <c r="E390" s="435"/>
      <c r="G390" s="437" t="s">
        <v>9673</v>
      </c>
      <c r="H390" s="435"/>
    </row>
    <row r="391" spans="1:8">
      <c r="A391" s="437" t="s">
        <v>1796</v>
      </c>
      <c r="B391" s="435"/>
      <c r="D391" s="437" t="s">
        <v>3604</v>
      </c>
      <c r="E391" s="435"/>
      <c r="G391" s="437" t="s">
        <v>9729</v>
      </c>
      <c r="H391" s="435"/>
    </row>
    <row r="392" spans="1:8">
      <c r="A392" s="434" t="s">
        <v>54</v>
      </c>
      <c r="B392" s="435" t="s">
        <v>1797</v>
      </c>
      <c r="D392" s="437" t="s">
        <v>3605</v>
      </c>
      <c r="E392" s="435"/>
      <c r="G392" s="437" t="s">
        <v>9730</v>
      </c>
      <c r="H392" s="435"/>
    </row>
    <row r="393" spans="1:8">
      <c r="A393" s="434" t="s">
        <v>1798</v>
      </c>
      <c r="B393" s="435" t="s">
        <v>1799</v>
      </c>
      <c r="D393" s="437" t="s">
        <v>3606</v>
      </c>
      <c r="E393" s="435"/>
      <c r="G393" s="437" t="s">
        <v>9731</v>
      </c>
      <c r="H393" s="435"/>
    </row>
    <row r="394" spans="1:8">
      <c r="A394" s="434" t="s">
        <v>1800</v>
      </c>
      <c r="B394" s="435" t="s">
        <v>1801</v>
      </c>
      <c r="D394" s="437" t="s">
        <v>3607</v>
      </c>
      <c r="E394" s="435"/>
      <c r="G394" s="437" t="s">
        <v>9732</v>
      </c>
      <c r="H394" s="435"/>
    </row>
    <row r="395" spans="1:8">
      <c r="A395" s="434" t="s">
        <v>1802</v>
      </c>
      <c r="B395" s="435" t="s">
        <v>1803</v>
      </c>
      <c r="D395" s="437" t="s">
        <v>3608</v>
      </c>
      <c r="E395" s="435"/>
      <c r="G395" s="437" t="s">
        <v>9733</v>
      </c>
      <c r="H395" s="435"/>
    </row>
    <row r="396" spans="1:8">
      <c r="A396" s="434" t="s">
        <v>1804</v>
      </c>
      <c r="B396" s="435" t="s">
        <v>1805</v>
      </c>
      <c r="D396" s="437" t="s">
        <v>3609</v>
      </c>
      <c r="E396" s="435"/>
      <c r="G396" s="437" t="s">
        <v>9734</v>
      </c>
      <c r="H396" s="435"/>
    </row>
    <row r="397" spans="1:8">
      <c r="A397" s="434" t="s">
        <v>56</v>
      </c>
      <c r="B397" s="435" t="s">
        <v>1806</v>
      </c>
      <c r="D397" s="434" t="s">
        <v>3610</v>
      </c>
      <c r="E397" s="435" t="s">
        <v>3611</v>
      </c>
      <c r="G397" s="437" t="s">
        <v>9735</v>
      </c>
      <c r="H397" s="435"/>
    </row>
    <row r="398" spans="1:8">
      <c r="A398" s="437" t="s">
        <v>1807</v>
      </c>
      <c r="B398" s="435"/>
      <c r="D398" s="437" t="s">
        <v>3612</v>
      </c>
      <c r="E398" s="435"/>
      <c r="G398" s="437" t="s">
        <v>9736</v>
      </c>
      <c r="H398" s="435"/>
    </row>
    <row r="399" spans="1:8">
      <c r="A399" s="437" t="s">
        <v>1808</v>
      </c>
      <c r="B399" s="435"/>
      <c r="D399" s="437" t="s">
        <v>3613</v>
      </c>
      <c r="E399" s="435"/>
      <c r="G399" s="437" t="s">
        <v>9737</v>
      </c>
      <c r="H399" s="435"/>
    </row>
    <row r="400" spans="1:8">
      <c r="A400" s="437" t="s">
        <v>1809</v>
      </c>
      <c r="B400" s="435"/>
      <c r="D400" s="437" t="s">
        <v>3614</v>
      </c>
      <c r="E400" s="435"/>
      <c r="G400" s="437" t="s">
        <v>9738</v>
      </c>
      <c r="H400" s="435"/>
    </row>
    <row r="401" spans="1:8">
      <c r="A401" s="434" t="s">
        <v>1810</v>
      </c>
      <c r="B401" s="435" t="s">
        <v>1811</v>
      </c>
      <c r="D401" s="437" t="s">
        <v>3615</v>
      </c>
      <c r="E401" s="435"/>
      <c r="G401" s="437" t="s">
        <v>9739</v>
      </c>
      <c r="H401" s="435"/>
    </row>
    <row r="402" spans="1:8">
      <c r="A402" s="434" t="s">
        <v>1812</v>
      </c>
      <c r="B402" s="435" t="s">
        <v>1811</v>
      </c>
      <c r="D402" s="437" t="s">
        <v>3616</v>
      </c>
      <c r="E402" s="435"/>
      <c r="G402" s="437" t="s">
        <v>9740</v>
      </c>
      <c r="H402" s="435"/>
    </row>
    <row r="403" spans="1:8">
      <c r="A403" s="434" t="s">
        <v>1813</v>
      </c>
      <c r="B403" s="435" t="s">
        <v>1814</v>
      </c>
      <c r="D403" s="437" t="s">
        <v>3617</v>
      </c>
      <c r="E403" s="435"/>
      <c r="G403" s="437" t="s">
        <v>9741</v>
      </c>
      <c r="H403" s="435"/>
    </row>
    <row r="404" spans="1:8">
      <c r="A404" s="437" t="s">
        <v>1815</v>
      </c>
      <c r="B404" s="435"/>
      <c r="D404" s="437" t="s">
        <v>3618</v>
      </c>
      <c r="E404" s="435"/>
      <c r="G404" s="437" t="s">
        <v>9742</v>
      </c>
      <c r="H404" s="435"/>
    </row>
    <row r="405" spans="1:8">
      <c r="A405" s="434" t="s">
        <v>57</v>
      </c>
      <c r="B405" s="435" t="s">
        <v>1816</v>
      </c>
      <c r="D405" s="437" t="s">
        <v>3619</v>
      </c>
      <c r="E405" s="435"/>
      <c r="G405" s="437" t="s">
        <v>9743</v>
      </c>
      <c r="H405" s="435"/>
    </row>
    <row r="406" spans="1:8">
      <c r="A406" s="434" t="s">
        <v>1817</v>
      </c>
      <c r="B406" s="435" t="s">
        <v>1816</v>
      </c>
      <c r="D406" s="437" t="s">
        <v>3620</v>
      </c>
      <c r="E406" s="435"/>
      <c r="G406" s="437" t="s">
        <v>9744</v>
      </c>
      <c r="H406" s="435"/>
    </row>
    <row r="407" spans="1:8">
      <c r="A407" s="437" t="s">
        <v>1818</v>
      </c>
      <c r="B407" s="435"/>
      <c r="D407" s="437" t="s">
        <v>3621</v>
      </c>
      <c r="E407" s="435"/>
      <c r="G407" s="437" t="s">
        <v>9745</v>
      </c>
      <c r="H407" s="435"/>
    </row>
    <row r="408" spans="1:8">
      <c r="A408" s="437" t="s">
        <v>1819</v>
      </c>
      <c r="B408" s="435"/>
      <c r="D408" s="437" t="s">
        <v>3622</v>
      </c>
      <c r="E408" s="435"/>
      <c r="G408" s="437" t="s">
        <v>9746</v>
      </c>
      <c r="H408" s="435"/>
    </row>
    <row r="409" spans="1:8">
      <c r="A409" s="437" t="s">
        <v>1820</v>
      </c>
      <c r="B409" s="435"/>
      <c r="D409" s="434" t="s">
        <v>797</v>
      </c>
      <c r="E409" s="435" t="s">
        <v>3623</v>
      </c>
      <c r="G409" s="434" t="s">
        <v>9747</v>
      </c>
      <c r="H409" s="435" t="s">
        <v>9748</v>
      </c>
    </row>
    <row r="410" spans="1:8">
      <c r="A410" s="434" t="s">
        <v>1821</v>
      </c>
      <c r="B410" s="435" t="s">
        <v>1822</v>
      </c>
      <c r="D410" s="437" t="s">
        <v>3624</v>
      </c>
      <c r="E410" s="435"/>
      <c r="G410" s="437" t="s">
        <v>9749</v>
      </c>
      <c r="H410" s="435"/>
    </row>
    <row r="411" spans="1:8">
      <c r="A411" s="434" t="s">
        <v>1823</v>
      </c>
      <c r="B411" s="435" t="s">
        <v>1824</v>
      </c>
      <c r="D411" s="437" t="s">
        <v>3625</v>
      </c>
      <c r="E411" s="435"/>
      <c r="G411" s="437" t="s">
        <v>9750</v>
      </c>
      <c r="H411" s="435"/>
    </row>
    <row r="412" spans="1:8">
      <c r="A412" s="437" t="s">
        <v>1825</v>
      </c>
      <c r="B412" s="435"/>
      <c r="D412" s="437" t="s">
        <v>3626</v>
      </c>
      <c r="E412" s="435"/>
      <c r="G412" s="437" t="s">
        <v>9751</v>
      </c>
      <c r="H412" s="435"/>
    </row>
    <row r="413" spans="1:8">
      <c r="A413" s="437" t="s">
        <v>1826</v>
      </c>
      <c r="B413" s="435"/>
      <c r="D413" s="434" t="s">
        <v>798</v>
      </c>
      <c r="E413" s="435" t="s">
        <v>3627</v>
      </c>
      <c r="G413" s="437" t="s">
        <v>9752</v>
      </c>
      <c r="H413" s="435"/>
    </row>
    <row r="414" spans="1:8">
      <c r="A414" s="437" t="s">
        <v>1827</v>
      </c>
      <c r="B414" s="435"/>
      <c r="D414" s="434" t="s">
        <v>3628</v>
      </c>
      <c r="E414" s="435" t="s">
        <v>3629</v>
      </c>
      <c r="G414" s="437" t="s">
        <v>9753</v>
      </c>
      <c r="H414" s="435"/>
    </row>
    <row r="415" spans="1:8">
      <c r="A415" s="437" t="s">
        <v>1828</v>
      </c>
      <c r="B415" s="435"/>
      <c r="D415" s="437" t="s">
        <v>3630</v>
      </c>
      <c r="E415" s="435"/>
      <c r="G415" s="437" t="s">
        <v>9754</v>
      </c>
      <c r="H415" s="435"/>
    </row>
    <row r="416" spans="1:8">
      <c r="A416" s="437" t="s">
        <v>1829</v>
      </c>
      <c r="B416" s="435"/>
      <c r="D416" s="437" t="s">
        <v>3631</v>
      </c>
      <c r="E416" s="435"/>
      <c r="G416" s="437" t="s">
        <v>9755</v>
      </c>
      <c r="H416" s="435"/>
    </row>
    <row r="417" spans="1:8">
      <c r="A417" s="434" t="s">
        <v>1830</v>
      </c>
      <c r="B417" s="435" t="s">
        <v>1831</v>
      </c>
      <c r="D417" s="437" t="s">
        <v>3632</v>
      </c>
      <c r="E417" s="435"/>
      <c r="G417" s="434" t="s">
        <v>9756</v>
      </c>
      <c r="H417" s="435" t="s">
        <v>9757</v>
      </c>
    </row>
    <row r="418" spans="1:8">
      <c r="A418" s="434" t="s">
        <v>60</v>
      </c>
      <c r="B418" s="435" t="s">
        <v>1832</v>
      </c>
      <c r="D418" s="437" t="s">
        <v>3633</v>
      </c>
      <c r="E418" s="435"/>
      <c r="G418" s="437" t="s">
        <v>9758</v>
      </c>
      <c r="H418" s="435"/>
    </row>
    <row r="419" spans="1:8">
      <c r="A419" s="434" t="s">
        <v>61</v>
      </c>
      <c r="B419" s="435" t="s">
        <v>1833</v>
      </c>
      <c r="D419" s="437" t="s">
        <v>3634</v>
      </c>
      <c r="E419" s="435"/>
      <c r="G419" s="437" t="s">
        <v>9759</v>
      </c>
      <c r="H419" s="435"/>
    </row>
    <row r="420" spans="1:8">
      <c r="A420" s="434" t="s">
        <v>62</v>
      </c>
      <c r="B420" s="435" t="s">
        <v>1834</v>
      </c>
      <c r="D420" s="434" t="s">
        <v>3635</v>
      </c>
      <c r="E420" s="435" t="s">
        <v>3636</v>
      </c>
      <c r="G420" s="437" t="s">
        <v>9760</v>
      </c>
      <c r="H420" s="435"/>
    </row>
    <row r="421" spans="1:8">
      <c r="A421" s="437" t="s">
        <v>1835</v>
      </c>
      <c r="B421" s="435"/>
      <c r="D421" s="434" t="s">
        <v>3637</v>
      </c>
      <c r="E421" s="435" t="s">
        <v>3636</v>
      </c>
      <c r="G421" s="437" t="s">
        <v>9761</v>
      </c>
      <c r="H421" s="435"/>
    </row>
    <row r="422" spans="1:8">
      <c r="A422" s="437" t="s">
        <v>1836</v>
      </c>
      <c r="B422" s="435"/>
      <c r="D422" s="437" t="s">
        <v>3638</v>
      </c>
      <c r="E422" s="435"/>
      <c r="G422" s="434" t="s">
        <v>9762</v>
      </c>
      <c r="H422" s="435" t="s">
        <v>9763</v>
      </c>
    </row>
    <row r="423" spans="1:8">
      <c r="A423" s="437" t="s">
        <v>1837</v>
      </c>
      <c r="B423" s="435"/>
      <c r="D423" s="437" t="s">
        <v>3639</v>
      </c>
      <c r="E423" s="435"/>
      <c r="G423" s="437" t="s">
        <v>9764</v>
      </c>
      <c r="H423" s="435"/>
    </row>
    <row r="424" spans="1:8">
      <c r="A424" s="437" t="s">
        <v>1838</v>
      </c>
      <c r="B424" s="435"/>
      <c r="D424" s="437" t="s">
        <v>3640</v>
      </c>
      <c r="E424" s="435"/>
      <c r="G424" s="437" t="s">
        <v>9765</v>
      </c>
      <c r="H424" s="435"/>
    </row>
    <row r="425" spans="1:8">
      <c r="A425" s="434" t="s">
        <v>63</v>
      </c>
      <c r="B425" s="435" t="s">
        <v>1839</v>
      </c>
      <c r="D425" s="434" t="s">
        <v>3641</v>
      </c>
      <c r="E425" s="435" t="s">
        <v>3642</v>
      </c>
      <c r="G425" s="437" t="s">
        <v>9766</v>
      </c>
      <c r="H425" s="435"/>
    </row>
    <row r="426" spans="1:8">
      <c r="A426" s="434" t="s">
        <v>1840</v>
      </c>
      <c r="B426" s="435" t="s">
        <v>1841</v>
      </c>
      <c r="D426" s="437" t="s">
        <v>3643</v>
      </c>
      <c r="E426" s="435"/>
      <c r="G426" s="437" t="s">
        <v>9767</v>
      </c>
      <c r="H426" s="435"/>
    </row>
    <row r="427" spans="1:8">
      <c r="A427" s="434" t="s">
        <v>14</v>
      </c>
      <c r="B427" s="435" t="s">
        <v>1842</v>
      </c>
      <c r="D427" s="437" t="s">
        <v>3644</v>
      </c>
      <c r="E427" s="435"/>
      <c r="G427" s="437" t="s">
        <v>9768</v>
      </c>
      <c r="H427" s="435"/>
    </row>
    <row r="428" spans="1:8">
      <c r="A428" s="437" t="s">
        <v>1843</v>
      </c>
      <c r="B428" s="435"/>
      <c r="D428" s="434" t="s">
        <v>3645</v>
      </c>
      <c r="E428" s="435" t="s">
        <v>3646</v>
      </c>
      <c r="G428" s="437" t="s">
        <v>9769</v>
      </c>
      <c r="H428" s="435"/>
    </row>
    <row r="429" spans="1:8">
      <c r="A429" s="437" t="s">
        <v>1844</v>
      </c>
      <c r="B429" s="435"/>
      <c r="D429" s="437" t="s">
        <v>3647</v>
      </c>
      <c r="E429" s="435"/>
      <c r="G429" s="437" t="s">
        <v>9770</v>
      </c>
      <c r="H429" s="435"/>
    </row>
    <row r="430" spans="1:8">
      <c r="A430" s="434" t="s">
        <v>1845</v>
      </c>
      <c r="B430" s="435" t="s">
        <v>1846</v>
      </c>
      <c r="D430" s="437" t="s">
        <v>3648</v>
      </c>
      <c r="E430" s="435"/>
      <c r="G430" s="437" t="s">
        <v>9771</v>
      </c>
      <c r="H430" s="435"/>
    </row>
    <row r="431" spans="1:8">
      <c r="A431" s="434" t="s">
        <v>1847</v>
      </c>
      <c r="B431" s="435" t="s">
        <v>1848</v>
      </c>
      <c r="D431" s="437" t="s">
        <v>3649</v>
      </c>
      <c r="E431" s="435"/>
      <c r="G431" s="437" t="s">
        <v>9772</v>
      </c>
      <c r="H431" s="435"/>
    </row>
    <row r="432" spans="1:8">
      <c r="A432" s="434" t="s">
        <v>64</v>
      </c>
      <c r="B432" s="435" t="s">
        <v>1849</v>
      </c>
      <c r="D432" s="437" t="s">
        <v>3650</v>
      </c>
      <c r="E432" s="435"/>
      <c r="G432" s="437" t="s">
        <v>9773</v>
      </c>
      <c r="H432" s="435"/>
    </row>
    <row r="433" spans="1:8">
      <c r="A433" s="437" t="s">
        <v>1850</v>
      </c>
      <c r="B433" s="435"/>
      <c r="D433" s="437" t="s">
        <v>3651</v>
      </c>
      <c r="E433" s="435"/>
      <c r="G433" s="437" t="s">
        <v>9774</v>
      </c>
      <c r="H433" s="435"/>
    </row>
    <row r="434" spans="1:8">
      <c r="A434" s="434" t="s">
        <v>1851</v>
      </c>
      <c r="B434" s="435" t="s">
        <v>1852</v>
      </c>
      <c r="D434" s="434" t="s">
        <v>3652</v>
      </c>
      <c r="E434" s="435" t="s">
        <v>3653</v>
      </c>
      <c r="G434" s="437" t="s">
        <v>9775</v>
      </c>
      <c r="H434" s="435"/>
    </row>
    <row r="435" spans="1:8">
      <c r="A435" s="434" t="s">
        <v>1853</v>
      </c>
      <c r="B435" s="435" t="s">
        <v>1854</v>
      </c>
      <c r="D435" s="437" t="s">
        <v>3654</v>
      </c>
      <c r="E435" s="435"/>
      <c r="G435" s="437" t="s">
        <v>9776</v>
      </c>
      <c r="H435" s="435"/>
    </row>
    <row r="436" spans="1:8">
      <c r="A436" s="434" t="s">
        <v>1855</v>
      </c>
      <c r="B436" s="435" t="s">
        <v>1854</v>
      </c>
      <c r="D436" s="437" t="s">
        <v>3655</v>
      </c>
      <c r="E436" s="435"/>
      <c r="G436" s="437" t="s">
        <v>9777</v>
      </c>
      <c r="H436" s="435"/>
    </row>
    <row r="437" spans="1:8">
      <c r="A437" s="437" t="s">
        <v>1856</v>
      </c>
      <c r="B437" s="435"/>
      <c r="D437" s="437" t="s">
        <v>3656</v>
      </c>
      <c r="E437" s="435"/>
      <c r="G437" s="437" t="s">
        <v>9778</v>
      </c>
      <c r="H437" s="435"/>
    </row>
    <row r="438" spans="1:8">
      <c r="A438" s="437" t="s">
        <v>1857</v>
      </c>
      <c r="B438" s="435"/>
      <c r="D438" s="437" t="s">
        <v>3657</v>
      </c>
      <c r="E438" s="435"/>
      <c r="G438" s="437" t="s">
        <v>9779</v>
      </c>
      <c r="H438" s="435"/>
    </row>
    <row r="439" spans="1:8">
      <c r="A439" s="434" t="s">
        <v>65</v>
      </c>
      <c r="B439" s="435" t="s">
        <v>1858</v>
      </c>
      <c r="D439" s="437" t="s">
        <v>3658</v>
      </c>
      <c r="E439" s="435"/>
      <c r="G439" s="434" t="s">
        <v>9780</v>
      </c>
      <c r="H439" s="435" t="s">
        <v>9781</v>
      </c>
    </row>
    <row r="440" spans="1:8">
      <c r="A440" s="434" t="s">
        <v>1859</v>
      </c>
      <c r="B440" s="435" t="s">
        <v>1858</v>
      </c>
      <c r="D440" s="437" t="s">
        <v>3659</v>
      </c>
      <c r="E440" s="435"/>
      <c r="G440" s="437" t="s">
        <v>9782</v>
      </c>
      <c r="H440" s="435"/>
    </row>
    <row r="441" spans="1:8">
      <c r="A441" s="434" t="s">
        <v>1860</v>
      </c>
      <c r="B441" s="435" t="s">
        <v>1861</v>
      </c>
      <c r="D441" s="437" t="s">
        <v>3660</v>
      </c>
      <c r="E441" s="435"/>
      <c r="G441" s="437" t="s">
        <v>9783</v>
      </c>
      <c r="H441" s="435"/>
    </row>
    <row r="442" spans="1:8">
      <c r="A442" s="434" t="s">
        <v>1862</v>
      </c>
      <c r="B442" s="435" t="s">
        <v>1863</v>
      </c>
      <c r="D442" s="434" t="s">
        <v>3661</v>
      </c>
      <c r="E442" s="435" t="s">
        <v>3662</v>
      </c>
      <c r="G442" s="437" t="s">
        <v>9784</v>
      </c>
      <c r="H442" s="435"/>
    </row>
    <row r="443" spans="1:8">
      <c r="A443" s="434" t="s">
        <v>1864</v>
      </c>
      <c r="B443" s="435" t="s">
        <v>1865</v>
      </c>
      <c r="D443" s="434" t="s">
        <v>590</v>
      </c>
      <c r="E443" s="435" t="s">
        <v>3663</v>
      </c>
      <c r="G443" s="437" t="s">
        <v>9785</v>
      </c>
      <c r="H443" s="435"/>
    </row>
    <row r="444" spans="1:8">
      <c r="A444" s="437" t="s">
        <v>1866</v>
      </c>
      <c r="B444" s="435"/>
      <c r="D444" s="434" t="s">
        <v>3664</v>
      </c>
      <c r="E444" s="435" t="s">
        <v>3663</v>
      </c>
      <c r="G444" s="437" t="s">
        <v>9786</v>
      </c>
      <c r="H444" s="435"/>
    </row>
    <row r="445" spans="1:8">
      <c r="A445" s="434" t="s">
        <v>1867</v>
      </c>
      <c r="B445" s="435" t="s">
        <v>1868</v>
      </c>
      <c r="D445" s="434" t="s">
        <v>3665</v>
      </c>
      <c r="E445" s="435" t="s">
        <v>3666</v>
      </c>
      <c r="G445" s="437" t="s">
        <v>9787</v>
      </c>
      <c r="H445" s="435"/>
    </row>
    <row r="446" spans="1:8">
      <c r="A446" s="437" t="s">
        <v>1869</v>
      </c>
      <c r="B446" s="435"/>
      <c r="D446" s="434" t="s">
        <v>3667</v>
      </c>
      <c r="E446" s="435" t="s">
        <v>3666</v>
      </c>
      <c r="G446" s="437" t="s">
        <v>9788</v>
      </c>
      <c r="H446" s="435"/>
    </row>
    <row r="447" spans="1:8">
      <c r="A447" s="434" t="s">
        <v>69</v>
      </c>
      <c r="B447" s="435" t="s">
        <v>1870</v>
      </c>
      <c r="D447" s="437" t="s">
        <v>3668</v>
      </c>
      <c r="E447" s="435"/>
      <c r="G447" s="437" t="s">
        <v>9789</v>
      </c>
      <c r="H447" s="435"/>
    </row>
    <row r="448" spans="1:8">
      <c r="A448" s="437" t="s">
        <v>1871</v>
      </c>
      <c r="B448" s="435"/>
      <c r="D448" s="434" t="s">
        <v>3669</v>
      </c>
      <c r="E448" s="435" t="s">
        <v>3670</v>
      </c>
      <c r="G448" s="437" t="s">
        <v>9790</v>
      </c>
      <c r="H448" s="435"/>
    </row>
    <row r="449" spans="1:8">
      <c r="A449" s="437" t="s">
        <v>1872</v>
      </c>
      <c r="B449" s="435"/>
      <c r="D449" s="437" t="s">
        <v>3671</v>
      </c>
      <c r="E449" s="435"/>
      <c r="G449" s="437" t="s">
        <v>9791</v>
      </c>
      <c r="H449" s="435"/>
    </row>
    <row r="450" spans="1:8">
      <c r="A450" s="437" t="s">
        <v>1873</v>
      </c>
      <c r="B450" s="435"/>
      <c r="D450" s="434" t="s">
        <v>3672</v>
      </c>
      <c r="E450" s="435" t="s">
        <v>3673</v>
      </c>
      <c r="G450" s="437" t="s">
        <v>9792</v>
      </c>
      <c r="H450" s="435"/>
    </row>
    <row r="451" spans="1:8">
      <c r="A451" s="434" t="s">
        <v>70</v>
      </c>
      <c r="B451" s="435" t="s">
        <v>1874</v>
      </c>
      <c r="D451" s="437" t="s">
        <v>3674</v>
      </c>
      <c r="E451" s="435"/>
      <c r="G451" s="437" t="s">
        <v>9793</v>
      </c>
      <c r="H451" s="435"/>
    </row>
    <row r="452" spans="1:8">
      <c r="A452" s="434" t="s">
        <v>1875</v>
      </c>
      <c r="B452" s="435" t="s">
        <v>1874</v>
      </c>
      <c r="D452" s="437" t="s">
        <v>3675</v>
      </c>
      <c r="E452" s="435"/>
      <c r="G452" s="437" t="s">
        <v>9794</v>
      </c>
      <c r="H452" s="435"/>
    </row>
    <row r="453" spans="1:8">
      <c r="A453" s="437" t="s">
        <v>1876</v>
      </c>
      <c r="B453" s="435"/>
      <c r="D453" s="437" t="s">
        <v>3676</v>
      </c>
      <c r="E453" s="435"/>
      <c r="G453" s="437" t="s">
        <v>9795</v>
      </c>
      <c r="H453" s="435"/>
    </row>
    <row r="454" spans="1:8">
      <c r="A454" s="434" t="s">
        <v>1069</v>
      </c>
      <c r="B454" s="435" t="s">
        <v>1877</v>
      </c>
      <c r="D454" s="434" t="s">
        <v>3677</v>
      </c>
      <c r="E454" s="435" t="s">
        <v>3678</v>
      </c>
      <c r="G454" s="437" t="s">
        <v>9796</v>
      </c>
      <c r="H454" s="435"/>
    </row>
    <row r="455" spans="1:8">
      <c r="A455" s="434" t="s">
        <v>1878</v>
      </c>
      <c r="B455" s="435" t="s">
        <v>1877</v>
      </c>
      <c r="D455" s="437" t="s">
        <v>3679</v>
      </c>
      <c r="E455" s="435"/>
      <c r="G455" s="437" t="s">
        <v>9797</v>
      </c>
      <c r="H455" s="435"/>
    </row>
    <row r="456" spans="1:8">
      <c r="A456" s="437" t="s">
        <v>1879</v>
      </c>
      <c r="B456" s="435"/>
      <c r="D456" s="437" t="s">
        <v>3680</v>
      </c>
      <c r="E456" s="435"/>
      <c r="G456" s="437" t="s">
        <v>9798</v>
      </c>
      <c r="H456" s="435"/>
    </row>
    <row r="457" spans="1:8">
      <c r="A457" s="434" t="s">
        <v>1880</v>
      </c>
      <c r="B457" s="435" t="s">
        <v>1881</v>
      </c>
      <c r="D457" s="437" t="s">
        <v>3681</v>
      </c>
      <c r="E457" s="435"/>
      <c r="G457" s="437" t="s">
        <v>9799</v>
      </c>
      <c r="H457" s="435"/>
    </row>
    <row r="458" spans="1:8">
      <c r="A458" s="437" t="s">
        <v>1882</v>
      </c>
      <c r="B458" s="435"/>
      <c r="D458" s="437" t="s">
        <v>3682</v>
      </c>
      <c r="E458" s="435"/>
      <c r="G458" s="437" t="s">
        <v>9800</v>
      </c>
      <c r="H458" s="435"/>
    </row>
    <row r="459" spans="1:8">
      <c r="A459" s="437" t="s">
        <v>1883</v>
      </c>
      <c r="B459" s="435"/>
      <c r="D459" s="437" t="s">
        <v>3683</v>
      </c>
      <c r="E459" s="435"/>
      <c r="G459" s="437" t="s">
        <v>9801</v>
      </c>
      <c r="H459" s="435"/>
    </row>
    <row r="460" spans="1:8">
      <c r="A460" s="434" t="s">
        <v>1884</v>
      </c>
      <c r="B460" s="435" t="s">
        <v>1885</v>
      </c>
      <c r="D460" s="437" t="s">
        <v>3684</v>
      </c>
      <c r="E460" s="435"/>
      <c r="G460" s="437" t="s">
        <v>9802</v>
      </c>
      <c r="H460" s="435"/>
    </row>
    <row r="461" spans="1:8">
      <c r="A461" s="434" t="s">
        <v>1886</v>
      </c>
      <c r="B461" s="435" t="s">
        <v>1885</v>
      </c>
      <c r="D461" s="437" t="s">
        <v>3685</v>
      </c>
      <c r="E461" s="435"/>
      <c r="G461" s="437" t="s">
        <v>9803</v>
      </c>
      <c r="H461" s="435"/>
    </row>
    <row r="462" spans="1:8">
      <c r="A462" s="437" t="s">
        <v>1887</v>
      </c>
      <c r="B462" s="435"/>
      <c r="D462" s="437" t="s">
        <v>3686</v>
      </c>
      <c r="E462" s="435"/>
      <c r="G462" s="437" t="s">
        <v>9804</v>
      </c>
      <c r="H462" s="435"/>
    </row>
    <row r="463" spans="1:8">
      <c r="A463" s="437" t="s">
        <v>1888</v>
      </c>
      <c r="B463" s="435"/>
      <c r="D463" s="437" t="s">
        <v>3687</v>
      </c>
      <c r="E463" s="435"/>
      <c r="G463" s="437" t="s">
        <v>9805</v>
      </c>
      <c r="H463" s="435"/>
    </row>
    <row r="464" spans="1:8">
      <c r="A464" s="434" t="s">
        <v>1889</v>
      </c>
      <c r="B464" s="435" t="s">
        <v>1890</v>
      </c>
      <c r="D464" s="434" t="s">
        <v>3688</v>
      </c>
      <c r="E464" s="435" t="s">
        <v>3689</v>
      </c>
      <c r="G464" s="437" t="s">
        <v>9806</v>
      </c>
      <c r="H464" s="435"/>
    </row>
    <row r="465" spans="1:8">
      <c r="A465" s="437" t="s">
        <v>1891</v>
      </c>
      <c r="B465" s="435"/>
      <c r="D465" s="437" t="s">
        <v>3690</v>
      </c>
      <c r="E465" s="435"/>
      <c r="G465" s="437" t="s">
        <v>9807</v>
      </c>
      <c r="H465" s="435"/>
    </row>
    <row r="466" spans="1:8">
      <c r="A466" s="434" t="s">
        <v>71</v>
      </c>
      <c r="B466" s="435" t="s">
        <v>1892</v>
      </c>
      <c r="D466" s="434" t="s">
        <v>799</v>
      </c>
      <c r="E466" s="435" t="s">
        <v>3691</v>
      </c>
      <c r="G466" s="437" t="s">
        <v>9808</v>
      </c>
      <c r="H466" s="435"/>
    </row>
    <row r="467" spans="1:8">
      <c r="A467" s="437" t="s">
        <v>1893</v>
      </c>
      <c r="B467" s="435"/>
      <c r="D467" s="434" t="s">
        <v>3692</v>
      </c>
      <c r="E467" s="435" t="s">
        <v>3691</v>
      </c>
      <c r="G467" s="437" t="s">
        <v>9809</v>
      </c>
      <c r="H467" s="435"/>
    </row>
    <row r="468" spans="1:8">
      <c r="A468" s="434" t="s">
        <v>1894</v>
      </c>
      <c r="B468" s="435" t="s">
        <v>1895</v>
      </c>
      <c r="D468" s="437" t="s">
        <v>3693</v>
      </c>
      <c r="E468" s="435"/>
      <c r="G468" s="437" t="s">
        <v>9810</v>
      </c>
      <c r="H468" s="435"/>
    </row>
    <row r="469" spans="1:8">
      <c r="A469" s="434" t="s">
        <v>1896</v>
      </c>
      <c r="B469" s="435" t="s">
        <v>1897</v>
      </c>
      <c r="D469" s="437" t="s">
        <v>3694</v>
      </c>
      <c r="E469" s="435"/>
      <c r="G469" s="437" t="s">
        <v>9811</v>
      </c>
      <c r="H469" s="435"/>
    </row>
    <row r="470" spans="1:8">
      <c r="A470" s="437" t="s">
        <v>1898</v>
      </c>
      <c r="B470" s="435"/>
      <c r="D470" s="434" t="s">
        <v>3695</v>
      </c>
      <c r="E470" s="435" t="s">
        <v>3691</v>
      </c>
      <c r="G470" s="437" t="s">
        <v>9812</v>
      </c>
      <c r="H470" s="435"/>
    </row>
    <row r="471" spans="1:8">
      <c r="A471" s="434" t="s">
        <v>1899</v>
      </c>
      <c r="B471" s="435" t="s">
        <v>1900</v>
      </c>
      <c r="D471" s="437" t="s">
        <v>3696</v>
      </c>
      <c r="E471" s="435"/>
      <c r="G471" s="437" t="s">
        <v>9813</v>
      </c>
      <c r="H471" s="435"/>
    </row>
    <row r="472" spans="1:8">
      <c r="A472" s="434" t="s">
        <v>1901</v>
      </c>
      <c r="B472" s="435" t="s">
        <v>1902</v>
      </c>
      <c r="D472" s="434" t="s">
        <v>3697</v>
      </c>
      <c r="E472" s="435" t="s">
        <v>3698</v>
      </c>
      <c r="G472" s="437" t="s">
        <v>9814</v>
      </c>
      <c r="H472" s="435"/>
    </row>
    <row r="473" spans="1:8">
      <c r="A473" s="437" t="s">
        <v>1903</v>
      </c>
      <c r="B473" s="435"/>
      <c r="D473" s="437" t="s">
        <v>3699</v>
      </c>
      <c r="E473" s="435"/>
      <c r="G473" s="437" t="s">
        <v>9815</v>
      </c>
      <c r="H473" s="435"/>
    </row>
    <row r="474" spans="1:8">
      <c r="A474" s="437" t="s">
        <v>1904</v>
      </c>
      <c r="B474" s="435"/>
      <c r="D474" s="437" t="s">
        <v>3700</v>
      </c>
      <c r="E474" s="435"/>
      <c r="G474" s="434" t="s">
        <v>9816</v>
      </c>
      <c r="H474" s="435" t="s">
        <v>9817</v>
      </c>
    </row>
    <row r="475" spans="1:8">
      <c r="A475" s="437" t="s">
        <v>1905</v>
      </c>
      <c r="B475" s="435"/>
      <c r="D475" s="437" t="s">
        <v>3701</v>
      </c>
      <c r="E475" s="435"/>
      <c r="G475" s="437" t="s">
        <v>9818</v>
      </c>
      <c r="H475" s="435"/>
    </row>
    <row r="476" spans="1:8">
      <c r="A476" s="434" t="s">
        <v>1906</v>
      </c>
      <c r="B476" s="435" t="s">
        <v>1907</v>
      </c>
      <c r="D476" s="437" t="s">
        <v>3702</v>
      </c>
      <c r="E476" s="435"/>
      <c r="G476" s="437" t="s">
        <v>9819</v>
      </c>
      <c r="H476" s="435"/>
    </row>
    <row r="477" spans="1:8">
      <c r="A477" s="434" t="s">
        <v>1908</v>
      </c>
      <c r="B477" s="435" t="s">
        <v>1909</v>
      </c>
      <c r="D477" s="437" t="s">
        <v>3703</v>
      </c>
      <c r="E477" s="435"/>
      <c r="G477" s="437" t="s">
        <v>9820</v>
      </c>
      <c r="H477" s="435"/>
    </row>
    <row r="478" spans="1:8">
      <c r="A478" s="437" t="s">
        <v>1910</v>
      </c>
      <c r="B478" s="435"/>
      <c r="D478" s="437" t="s">
        <v>3704</v>
      </c>
      <c r="E478" s="435"/>
      <c r="G478" s="437" t="s">
        <v>9821</v>
      </c>
      <c r="H478" s="435"/>
    </row>
    <row r="479" spans="1:8">
      <c r="A479" s="434" t="s">
        <v>1911</v>
      </c>
      <c r="B479" s="435" t="s">
        <v>1912</v>
      </c>
      <c r="D479" s="434" t="s">
        <v>800</v>
      </c>
      <c r="E479" s="435" t="s">
        <v>3705</v>
      </c>
      <c r="G479" s="437" t="s">
        <v>9822</v>
      </c>
      <c r="H479" s="435"/>
    </row>
    <row r="480" spans="1:8">
      <c r="A480" s="437" t="s">
        <v>1911</v>
      </c>
      <c r="B480" s="435"/>
      <c r="D480" s="437" t="s">
        <v>3706</v>
      </c>
      <c r="E480" s="435"/>
      <c r="G480" s="437" t="s">
        <v>9823</v>
      </c>
      <c r="H480" s="435"/>
    </row>
    <row r="481" spans="1:8">
      <c r="A481" s="434" t="s">
        <v>72</v>
      </c>
      <c r="B481" s="435" t="s">
        <v>1913</v>
      </c>
      <c r="D481" s="437" t="s">
        <v>3707</v>
      </c>
      <c r="E481" s="435"/>
      <c r="G481" s="437" t="s">
        <v>9824</v>
      </c>
      <c r="H481" s="435"/>
    </row>
    <row r="482" spans="1:8">
      <c r="A482" s="434" t="s">
        <v>1914</v>
      </c>
      <c r="B482" s="435" t="s">
        <v>1913</v>
      </c>
      <c r="D482" s="437" t="s">
        <v>3708</v>
      </c>
      <c r="E482" s="435"/>
      <c r="G482" s="437" t="s">
        <v>9825</v>
      </c>
      <c r="H482" s="435"/>
    </row>
    <row r="483" spans="1:8">
      <c r="A483" s="437" t="s">
        <v>1915</v>
      </c>
      <c r="B483" s="435"/>
      <c r="D483" s="434" t="s">
        <v>610</v>
      </c>
      <c r="E483" s="435" t="s">
        <v>3709</v>
      </c>
      <c r="G483" s="437" t="s">
        <v>9826</v>
      </c>
      <c r="H483" s="435"/>
    </row>
    <row r="484" spans="1:8">
      <c r="A484" s="437" t="s">
        <v>1916</v>
      </c>
      <c r="B484" s="435"/>
      <c r="D484" s="437" t="s">
        <v>3710</v>
      </c>
      <c r="E484" s="435"/>
      <c r="G484" s="434" t="s">
        <v>9827</v>
      </c>
      <c r="H484" s="435" t="s">
        <v>9828</v>
      </c>
    </row>
    <row r="485" spans="1:8">
      <c r="A485" s="437" t="s">
        <v>1917</v>
      </c>
      <c r="B485" s="435"/>
      <c r="D485" s="437" t="s">
        <v>3711</v>
      </c>
      <c r="E485" s="435"/>
      <c r="G485" s="437" t="s">
        <v>9829</v>
      </c>
      <c r="H485" s="435"/>
    </row>
    <row r="486" spans="1:8">
      <c r="A486" s="434" t="s">
        <v>1918</v>
      </c>
      <c r="B486" s="435" t="s">
        <v>1913</v>
      </c>
      <c r="D486" s="437" t="s">
        <v>3712</v>
      </c>
      <c r="E486" s="435"/>
      <c r="G486" s="437" t="s">
        <v>9830</v>
      </c>
      <c r="H486" s="435"/>
    </row>
    <row r="487" spans="1:8">
      <c r="A487" s="437" t="s">
        <v>1919</v>
      </c>
      <c r="B487" s="435"/>
      <c r="D487" s="437" t="s">
        <v>3713</v>
      </c>
      <c r="E487" s="435"/>
      <c r="G487" s="437" t="s">
        <v>9831</v>
      </c>
      <c r="H487" s="435"/>
    </row>
    <row r="488" spans="1:8">
      <c r="A488" s="437" t="s">
        <v>1920</v>
      </c>
      <c r="B488" s="435"/>
      <c r="D488" s="437" t="s">
        <v>3714</v>
      </c>
      <c r="E488" s="435"/>
      <c r="G488" s="437" t="s">
        <v>9832</v>
      </c>
      <c r="H488" s="435"/>
    </row>
    <row r="489" spans="1:8">
      <c r="A489" s="434" t="s">
        <v>1921</v>
      </c>
      <c r="B489" s="435" t="s">
        <v>1922</v>
      </c>
      <c r="D489" s="434" t="s">
        <v>3715</v>
      </c>
      <c r="E489" s="435" t="s">
        <v>3716</v>
      </c>
      <c r="G489" s="437" t="s">
        <v>9833</v>
      </c>
      <c r="H489" s="435"/>
    </row>
    <row r="490" spans="1:8">
      <c r="A490" s="437" t="s">
        <v>1923</v>
      </c>
      <c r="B490" s="435"/>
      <c r="D490" s="437" t="s">
        <v>3717</v>
      </c>
      <c r="E490" s="435"/>
      <c r="G490" s="437" t="s">
        <v>9834</v>
      </c>
      <c r="H490" s="435"/>
    </row>
    <row r="491" spans="1:8">
      <c r="A491" s="437" t="s">
        <v>1924</v>
      </c>
      <c r="B491" s="435"/>
      <c r="D491" s="437" t="s">
        <v>3718</v>
      </c>
      <c r="E491" s="435"/>
      <c r="G491" s="437" t="s">
        <v>9835</v>
      </c>
      <c r="H491" s="435"/>
    </row>
    <row r="492" spans="1:8">
      <c r="A492" s="437" t="s">
        <v>1925</v>
      </c>
      <c r="B492" s="435"/>
      <c r="D492" s="437" t="s">
        <v>3719</v>
      </c>
      <c r="E492" s="435"/>
      <c r="G492" s="437" t="s">
        <v>9836</v>
      </c>
      <c r="H492" s="435"/>
    </row>
    <row r="493" spans="1:8">
      <c r="A493" s="437" t="s">
        <v>1926</v>
      </c>
      <c r="B493" s="435"/>
      <c r="D493" s="437" t="s">
        <v>3720</v>
      </c>
      <c r="E493" s="435"/>
      <c r="G493" s="437" t="s">
        <v>9837</v>
      </c>
      <c r="H493" s="435"/>
    </row>
    <row r="494" spans="1:8">
      <c r="A494" s="437" t="s">
        <v>1927</v>
      </c>
      <c r="B494" s="435"/>
      <c r="D494" s="437" t="s">
        <v>3721</v>
      </c>
      <c r="E494" s="435"/>
      <c r="G494" s="437" t="s">
        <v>9838</v>
      </c>
      <c r="H494" s="435"/>
    </row>
    <row r="495" spans="1:8">
      <c r="A495" s="437" t="s">
        <v>1928</v>
      </c>
      <c r="B495" s="435"/>
      <c r="D495" s="434" t="s">
        <v>3722</v>
      </c>
      <c r="E495" s="435" t="s">
        <v>3723</v>
      </c>
      <c r="G495" s="437" t="s">
        <v>9839</v>
      </c>
      <c r="H495" s="435"/>
    </row>
    <row r="496" spans="1:8">
      <c r="A496" s="437" t="s">
        <v>1929</v>
      </c>
      <c r="B496" s="435"/>
      <c r="D496" s="434" t="s">
        <v>614</v>
      </c>
      <c r="E496" s="435" t="s">
        <v>3724</v>
      </c>
      <c r="G496" s="437" t="s">
        <v>9840</v>
      </c>
      <c r="H496" s="435"/>
    </row>
    <row r="497" spans="1:8">
      <c r="A497" s="437" t="s">
        <v>1930</v>
      </c>
      <c r="B497" s="435"/>
      <c r="D497" s="434" t="s">
        <v>3725</v>
      </c>
      <c r="E497" s="435" t="s">
        <v>3724</v>
      </c>
      <c r="G497" s="437" t="s">
        <v>9841</v>
      </c>
      <c r="H497" s="435"/>
    </row>
    <row r="498" spans="1:8">
      <c r="A498" s="437" t="s">
        <v>1931</v>
      </c>
      <c r="B498" s="435"/>
      <c r="D498" s="437" t="s">
        <v>3726</v>
      </c>
      <c r="E498" s="435"/>
      <c r="G498" s="437" t="s">
        <v>9842</v>
      </c>
      <c r="H498" s="435"/>
    </row>
    <row r="499" spans="1:8">
      <c r="A499" s="437" t="s">
        <v>1932</v>
      </c>
      <c r="B499" s="435"/>
      <c r="D499" s="437" t="s">
        <v>3727</v>
      </c>
      <c r="E499" s="435"/>
      <c r="G499" s="437" t="s">
        <v>9843</v>
      </c>
      <c r="H499" s="435"/>
    </row>
    <row r="500" spans="1:8">
      <c r="A500" s="437" t="s">
        <v>1933</v>
      </c>
      <c r="B500" s="435"/>
      <c r="D500" s="437" t="s">
        <v>3728</v>
      </c>
      <c r="E500" s="435"/>
      <c r="G500" s="437" t="s">
        <v>9844</v>
      </c>
      <c r="H500" s="435"/>
    </row>
    <row r="501" spans="1:8">
      <c r="A501" s="437" t="s">
        <v>1934</v>
      </c>
      <c r="B501" s="435"/>
      <c r="D501" s="437" t="s">
        <v>3729</v>
      </c>
      <c r="E501" s="435"/>
      <c r="G501" s="437" t="s">
        <v>9845</v>
      </c>
      <c r="H501" s="435"/>
    </row>
    <row r="502" spans="1:8">
      <c r="A502" s="437" t="s">
        <v>1935</v>
      </c>
      <c r="B502" s="435"/>
      <c r="D502" s="437" t="s">
        <v>3730</v>
      </c>
      <c r="E502" s="435"/>
      <c r="G502" s="437" t="s">
        <v>9846</v>
      </c>
      <c r="H502" s="435"/>
    </row>
    <row r="503" spans="1:8">
      <c r="A503" s="437" t="s">
        <v>1936</v>
      </c>
      <c r="B503" s="435"/>
      <c r="D503" s="437" t="s">
        <v>3731</v>
      </c>
      <c r="E503" s="435"/>
      <c r="G503" s="437" t="s">
        <v>9847</v>
      </c>
      <c r="H503" s="435"/>
    </row>
    <row r="504" spans="1:8">
      <c r="A504" s="437" t="s">
        <v>1937</v>
      </c>
      <c r="B504" s="435"/>
      <c r="D504" s="434" t="s">
        <v>3732</v>
      </c>
      <c r="E504" s="435" t="s">
        <v>3733</v>
      </c>
      <c r="G504" s="437" t="s">
        <v>9848</v>
      </c>
      <c r="H504" s="435"/>
    </row>
    <row r="505" spans="1:8">
      <c r="A505" s="437" t="s">
        <v>1938</v>
      </c>
      <c r="B505" s="435"/>
      <c r="D505" s="437" t="s">
        <v>3734</v>
      </c>
      <c r="E505" s="435"/>
      <c r="G505" s="437" t="s">
        <v>9849</v>
      </c>
      <c r="H505" s="435"/>
    </row>
    <row r="506" spans="1:8">
      <c r="A506" s="437" t="s">
        <v>1939</v>
      </c>
      <c r="B506" s="435"/>
      <c r="D506" s="437" t="s">
        <v>3735</v>
      </c>
      <c r="E506" s="435"/>
      <c r="G506" s="437" t="s">
        <v>9850</v>
      </c>
      <c r="H506" s="435"/>
    </row>
    <row r="507" spans="1:8">
      <c r="A507" s="434" t="s">
        <v>73</v>
      </c>
      <c r="B507" s="435" t="s">
        <v>1940</v>
      </c>
      <c r="D507" s="437" t="s">
        <v>3736</v>
      </c>
      <c r="E507" s="435"/>
      <c r="G507" s="437" t="s">
        <v>9851</v>
      </c>
      <c r="H507" s="435"/>
    </row>
    <row r="508" spans="1:8">
      <c r="A508" s="437" t="s">
        <v>1941</v>
      </c>
      <c r="B508" s="435"/>
      <c r="D508" s="437" t="s">
        <v>3737</v>
      </c>
      <c r="E508" s="435"/>
      <c r="G508" s="437" t="s">
        <v>9852</v>
      </c>
      <c r="H508" s="435"/>
    </row>
    <row r="509" spans="1:8">
      <c r="A509" s="437" t="s">
        <v>1942</v>
      </c>
      <c r="B509" s="435"/>
      <c r="D509" s="437" t="s">
        <v>3738</v>
      </c>
      <c r="E509" s="435"/>
      <c r="G509" s="437" t="s">
        <v>9853</v>
      </c>
      <c r="H509" s="435"/>
    </row>
    <row r="510" spans="1:8">
      <c r="A510" s="437" t="s">
        <v>1943</v>
      </c>
      <c r="B510" s="435"/>
      <c r="D510" s="437" t="s">
        <v>3739</v>
      </c>
      <c r="E510" s="435"/>
      <c r="G510" s="437" t="s">
        <v>9854</v>
      </c>
      <c r="H510" s="435"/>
    </row>
    <row r="511" spans="1:8">
      <c r="A511" s="434" t="s">
        <v>1944</v>
      </c>
      <c r="B511" s="435" t="s">
        <v>1945</v>
      </c>
      <c r="D511" s="437" t="s">
        <v>3740</v>
      </c>
      <c r="E511" s="435"/>
      <c r="G511" s="437" t="s">
        <v>9855</v>
      </c>
      <c r="H511" s="435"/>
    </row>
    <row r="512" spans="1:8">
      <c r="A512" s="437" t="s">
        <v>1946</v>
      </c>
      <c r="B512" s="435"/>
      <c r="D512" s="437" t="s">
        <v>3741</v>
      </c>
      <c r="E512" s="435"/>
      <c r="G512" s="437" t="s">
        <v>9856</v>
      </c>
      <c r="H512" s="435"/>
    </row>
    <row r="513" spans="1:8">
      <c r="A513" s="437" t="s">
        <v>1947</v>
      </c>
      <c r="B513" s="435"/>
      <c r="D513" s="437" t="s">
        <v>3742</v>
      </c>
      <c r="E513" s="435"/>
      <c r="G513" s="437" t="s">
        <v>9857</v>
      </c>
      <c r="H513" s="435"/>
    </row>
    <row r="514" spans="1:8">
      <c r="A514" s="437" t="s">
        <v>1948</v>
      </c>
      <c r="B514" s="435"/>
      <c r="D514" s="434" t="s">
        <v>1079</v>
      </c>
      <c r="E514" s="435" t="s">
        <v>3743</v>
      </c>
      <c r="G514" s="437" t="s">
        <v>9858</v>
      </c>
      <c r="H514" s="435"/>
    </row>
    <row r="515" spans="1:8">
      <c r="A515" s="437" t="s">
        <v>1949</v>
      </c>
      <c r="B515" s="435"/>
      <c r="D515" s="434" t="s">
        <v>3744</v>
      </c>
      <c r="E515" s="435" t="s">
        <v>3743</v>
      </c>
      <c r="G515" s="437" t="s">
        <v>9859</v>
      </c>
      <c r="H515" s="435"/>
    </row>
    <row r="516" spans="1:8">
      <c r="A516" s="434" t="s">
        <v>1950</v>
      </c>
      <c r="B516" s="435" t="s">
        <v>1951</v>
      </c>
      <c r="D516" s="437" t="s">
        <v>3745</v>
      </c>
      <c r="E516" s="435"/>
      <c r="G516" s="437" t="s">
        <v>9860</v>
      </c>
      <c r="H516" s="435"/>
    </row>
    <row r="517" spans="1:8">
      <c r="A517" s="437" t="s">
        <v>1952</v>
      </c>
      <c r="B517" s="435"/>
      <c r="D517" s="437" t="s">
        <v>3746</v>
      </c>
      <c r="E517" s="435"/>
      <c r="G517" s="437" t="s">
        <v>9861</v>
      </c>
      <c r="H517" s="435"/>
    </row>
    <row r="518" spans="1:8">
      <c r="A518" s="437" t="s">
        <v>1953</v>
      </c>
      <c r="B518" s="435"/>
      <c r="D518" s="437" t="s">
        <v>3747</v>
      </c>
      <c r="E518" s="435"/>
      <c r="G518" s="437" t="s">
        <v>9862</v>
      </c>
      <c r="H518" s="435"/>
    </row>
    <row r="519" spans="1:8">
      <c r="A519" s="437" t="s">
        <v>1954</v>
      </c>
      <c r="B519" s="435"/>
      <c r="D519" s="437" t="s">
        <v>3748</v>
      </c>
      <c r="E519" s="435"/>
      <c r="G519" s="437" t="s">
        <v>9863</v>
      </c>
      <c r="H519" s="435"/>
    </row>
    <row r="520" spans="1:8">
      <c r="A520" s="437" t="s">
        <v>1955</v>
      </c>
      <c r="B520" s="435"/>
      <c r="D520" s="437" t="s">
        <v>3749</v>
      </c>
      <c r="E520" s="435"/>
      <c r="G520" s="437" t="s">
        <v>9864</v>
      </c>
      <c r="H520" s="435"/>
    </row>
    <row r="521" spans="1:8">
      <c r="A521" s="437" t="s">
        <v>1956</v>
      </c>
      <c r="B521" s="435"/>
      <c r="D521" s="437" t="s">
        <v>3750</v>
      </c>
      <c r="E521" s="435"/>
      <c r="G521" s="437" t="s">
        <v>9865</v>
      </c>
      <c r="H521" s="435"/>
    </row>
    <row r="522" spans="1:8">
      <c r="A522" s="437" t="s">
        <v>1957</v>
      </c>
      <c r="B522" s="435"/>
      <c r="D522" s="437" t="s">
        <v>3751</v>
      </c>
      <c r="E522" s="435"/>
      <c r="G522" s="437" t="s">
        <v>9866</v>
      </c>
      <c r="H522" s="435"/>
    </row>
    <row r="523" spans="1:8">
      <c r="A523" s="434" t="s">
        <v>74</v>
      </c>
      <c r="B523" s="435" t="s">
        <v>1958</v>
      </c>
      <c r="D523" s="437" t="s">
        <v>3752</v>
      </c>
      <c r="E523" s="435"/>
      <c r="G523" s="437" t="s">
        <v>9867</v>
      </c>
      <c r="H523" s="435"/>
    </row>
    <row r="524" spans="1:8">
      <c r="A524" s="437" t="s">
        <v>1959</v>
      </c>
      <c r="B524" s="435"/>
      <c r="D524" s="437" t="s">
        <v>3753</v>
      </c>
      <c r="E524" s="435"/>
      <c r="G524" s="437" t="s">
        <v>9868</v>
      </c>
      <c r="H524" s="435"/>
    </row>
    <row r="525" spans="1:8">
      <c r="A525" s="437" t="s">
        <v>1960</v>
      </c>
      <c r="B525" s="435"/>
      <c r="D525" s="437" t="s">
        <v>3754</v>
      </c>
      <c r="E525" s="435"/>
      <c r="G525" s="437" t="s">
        <v>9869</v>
      </c>
      <c r="H525" s="435"/>
    </row>
    <row r="526" spans="1:8">
      <c r="A526" s="437" t="s">
        <v>1961</v>
      </c>
      <c r="B526" s="435"/>
      <c r="D526" s="437" t="s">
        <v>3755</v>
      </c>
      <c r="E526" s="435"/>
      <c r="G526" s="437" t="s">
        <v>9870</v>
      </c>
      <c r="H526" s="435"/>
    </row>
    <row r="527" spans="1:8">
      <c r="A527" s="434" t="s">
        <v>76</v>
      </c>
      <c r="B527" s="435" t="s">
        <v>1962</v>
      </c>
      <c r="D527" s="437" t="s">
        <v>3756</v>
      </c>
      <c r="E527" s="435"/>
      <c r="G527" s="437" t="s">
        <v>9871</v>
      </c>
      <c r="H527" s="435"/>
    </row>
    <row r="528" spans="1:8">
      <c r="A528" s="437" t="s">
        <v>1963</v>
      </c>
      <c r="B528" s="435"/>
      <c r="D528" s="437" t="s">
        <v>3757</v>
      </c>
      <c r="E528" s="435"/>
      <c r="G528" s="434" t="s">
        <v>4640</v>
      </c>
      <c r="H528" s="435" t="s">
        <v>4641</v>
      </c>
    </row>
    <row r="529" spans="1:8">
      <c r="A529" s="434" t="s">
        <v>1964</v>
      </c>
      <c r="B529" s="435" t="s">
        <v>1965</v>
      </c>
      <c r="D529" s="434" t="s">
        <v>3758</v>
      </c>
      <c r="E529" s="435" t="s">
        <v>3759</v>
      </c>
      <c r="G529" s="437" t="s">
        <v>4642</v>
      </c>
      <c r="H529" s="435"/>
    </row>
    <row r="530" spans="1:8">
      <c r="A530" s="434" t="s">
        <v>1966</v>
      </c>
      <c r="B530" s="435" t="s">
        <v>1965</v>
      </c>
      <c r="D530" s="434" t="s">
        <v>3760</v>
      </c>
      <c r="E530" s="435" t="s">
        <v>3761</v>
      </c>
      <c r="G530" s="437" t="s">
        <v>4643</v>
      </c>
      <c r="H530" s="435"/>
    </row>
    <row r="531" spans="1:8">
      <c r="A531" s="437" t="s">
        <v>1967</v>
      </c>
      <c r="B531" s="435"/>
      <c r="D531" s="434" t="s">
        <v>3762</v>
      </c>
      <c r="E531" s="435" t="s">
        <v>3763</v>
      </c>
      <c r="G531" s="437" t="s">
        <v>4644</v>
      </c>
      <c r="H531" s="435"/>
    </row>
    <row r="532" spans="1:8">
      <c r="A532" s="437" t="s">
        <v>1968</v>
      </c>
      <c r="B532" s="435"/>
      <c r="D532" s="434" t="s">
        <v>3764</v>
      </c>
      <c r="E532" s="435" t="s">
        <v>3763</v>
      </c>
      <c r="G532" s="437" t="s">
        <v>4645</v>
      </c>
      <c r="H532" s="435"/>
    </row>
    <row r="533" spans="1:8">
      <c r="A533" s="437" t="s">
        <v>1969</v>
      </c>
      <c r="B533" s="435"/>
      <c r="D533" s="437" t="s">
        <v>3765</v>
      </c>
      <c r="E533" s="435"/>
      <c r="G533" s="434" t="s">
        <v>4649</v>
      </c>
      <c r="H533" s="435" t="s">
        <v>4650</v>
      </c>
    </row>
    <row r="534" spans="1:8">
      <c r="A534" s="437" t="s">
        <v>1970</v>
      </c>
      <c r="B534" s="435"/>
      <c r="D534" s="437" t="s">
        <v>3766</v>
      </c>
      <c r="E534" s="435"/>
      <c r="G534" s="434" t="s">
        <v>4651</v>
      </c>
      <c r="H534" s="435" t="s">
        <v>4650</v>
      </c>
    </row>
    <row r="535" spans="1:8">
      <c r="A535" s="437" t="s">
        <v>1971</v>
      </c>
      <c r="B535" s="435"/>
      <c r="D535" s="434" t="s">
        <v>801</v>
      </c>
      <c r="E535" s="435" t="s">
        <v>3767</v>
      </c>
      <c r="G535" s="434" t="s">
        <v>4783</v>
      </c>
      <c r="H535" s="435" t="s">
        <v>4784</v>
      </c>
    </row>
    <row r="536" spans="1:8">
      <c r="A536" s="437" t="s">
        <v>1972</v>
      </c>
      <c r="B536" s="435"/>
      <c r="D536" s="437" t="s">
        <v>3768</v>
      </c>
      <c r="E536" s="435"/>
      <c r="G536" s="434" t="s">
        <v>4785</v>
      </c>
      <c r="H536" s="435" t="s">
        <v>4784</v>
      </c>
    </row>
    <row r="537" spans="1:8">
      <c r="A537" s="434" t="s">
        <v>1973</v>
      </c>
      <c r="B537" s="435" t="s">
        <v>1974</v>
      </c>
      <c r="D537" s="437" t="s">
        <v>3769</v>
      </c>
      <c r="E537" s="435"/>
      <c r="G537" s="437" t="s">
        <v>4786</v>
      </c>
      <c r="H537" s="435"/>
    </row>
    <row r="538" spans="1:8">
      <c r="A538" s="437" t="s">
        <v>1975</v>
      </c>
      <c r="B538" s="435"/>
      <c r="D538" s="437" t="s">
        <v>3770</v>
      </c>
      <c r="E538" s="435"/>
      <c r="G538" s="434" t="s">
        <v>4787</v>
      </c>
      <c r="H538" s="435" t="s">
        <v>4784</v>
      </c>
    </row>
    <row r="539" spans="1:8">
      <c r="A539" s="437" t="s">
        <v>1976</v>
      </c>
      <c r="B539" s="435"/>
      <c r="D539" s="437" t="s">
        <v>3771</v>
      </c>
      <c r="E539" s="435"/>
      <c r="G539" s="437" t="s">
        <v>4788</v>
      </c>
      <c r="H539" s="435"/>
    </row>
    <row r="540" spans="1:8">
      <c r="A540" s="437" t="s">
        <v>1977</v>
      </c>
      <c r="B540" s="435"/>
      <c r="D540" s="437" t="s">
        <v>3772</v>
      </c>
      <c r="E540" s="435"/>
      <c r="G540" s="437" t="s">
        <v>4789</v>
      </c>
      <c r="H540" s="435"/>
    </row>
    <row r="541" spans="1:8">
      <c r="A541" s="437" t="s">
        <v>1978</v>
      </c>
      <c r="B541" s="435"/>
      <c r="D541" s="437" t="s">
        <v>3773</v>
      </c>
      <c r="E541" s="435"/>
      <c r="G541" s="437" t="s">
        <v>4790</v>
      </c>
      <c r="H541" s="435"/>
    </row>
    <row r="542" spans="1:8">
      <c r="A542" s="437" t="s">
        <v>1979</v>
      </c>
      <c r="B542" s="435"/>
      <c r="D542" s="434" t="s">
        <v>592</v>
      </c>
      <c r="E542" s="435" t="s">
        <v>3774</v>
      </c>
      <c r="G542" s="437" t="s">
        <v>4791</v>
      </c>
      <c r="H542" s="435"/>
    </row>
    <row r="543" spans="1:8">
      <c r="A543" s="437" t="s">
        <v>1980</v>
      </c>
      <c r="B543" s="435"/>
      <c r="D543" s="434" t="s">
        <v>3775</v>
      </c>
      <c r="E543" s="435" t="s">
        <v>3776</v>
      </c>
      <c r="G543" s="437" t="s">
        <v>4792</v>
      </c>
      <c r="H543" s="435"/>
    </row>
    <row r="544" spans="1:8">
      <c r="A544" s="437" t="s">
        <v>1981</v>
      </c>
      <c r="B544" s="435"/>
      <c r="D544" s="437" t="s">
        <v>3777</v>
      </c>
      <c r="E544" s="435"/>
      <c r="G544" s="434" t="s">
        <v>4804</v>
      </c>
      <c r="H544" s="435" t="s">
        <v>4805</v>
      </c>
    </row>
    <row r="545" spans="1:8">
      <c r="A545" s="437" t="s">
        <v>1982</v>
      </c>
      <c r="B545" s="435"/>
      <c r="D545" s="437" t="s">
        <v>3778</v>
      </c>
      <c r="E545" s="435"/>
      <c r="G545" s="434" t="s">
        <v>4806</v>
      </c>
      <c r="H545" s="435" t="s">
        <v>4805</v>
      </c>
    </row>
    <row r="546" spans="1:8">
      <c r="A546" s="437" t="s">
        <v>1983</v>
      </c>
      <c r="B546" s="435"/>
      <c r="D546" s="434" t="s">
        <v>802</v>
      </c>
      <c r="E546" s="435" t="s">
        <v>3779</v>
      </c>
      <c r="G546" s="437" t="s">
        <v>4807</v>
      </c>
      <c r="H546" s="435"/>
    </row>
    <row r="547" spans="1:8">
      <c r="A547" s="437" t="s">
        <v>1984</v>
      </c>
      <c r="B547" s="435"/>
      <c r="D547" s="437" t="s">
        <v>3780</v>
      </c>
      <c r="E547" s="435"/>
      <c r="G547" s="437" t="s">
        <v>4808</v>
      </c>
      <c r="H547" s="435"/>
    </row>
    <row r="548" spans="1:8">
      <c r="A548" s="437" t="s">
        <v>1985</v>
      </c>
      <c r="B548" s="435"/>
      <c r="D548" s="437" t="s">
        <v>3781</v>
      </c>
      <c r="E548" s="435"/>
      <c r="G548" s="437" t="s">
        <v>4809</v>
      </c>
      <c r="H548" s="435"/>
    </row>
    <row r="549" spans="1:8">
      <c r="A549" s="437" t="s">
        <v>1986</v>
      </c>
      <c r="B549" s="435"/>
      <c r="D549" s="434" t="s">
        <v>803</v>
      </c>
      <c r="E549" s="435" t="s">
        <v>3782</v>
      </c>
      <c r="G549" s="434" t="s">
        <v>4810</v>
      </c>
      <c r="H549" s="435" t="s">
        <v>4811</v>
      </c>
    </row>
    <row r="550" spans="1:8">
      <c r="A550" s="437" t="s">
        <v>1987</v>
      </c>
      <c r="B550" s="435"/>
      <c r="D550" s="437" t="s">
        <v>3783</v>
      </c>
      <c r="E550" s="435"/>
      <c r="G550" s="434" t="s">
        <v>4812</v>
      </c>
      <c r="H550" s="435" t="s">
        <v>4811</v>
      </c>
    </row>
    <row r="551" spans="1:8">
      <c r="A551" s="437" t="s">
        <v>1988</v>
      </c>
      <c r="B551" s="435"/>
      <c r="D551" s="437" t="s">
        <v>3784</v>
      </c>
      <c r="E551" s="435"/>
      <c r="G551" s="437" t="s">
        <v>4813</v>
      </c>
      <c r="H551" s="435"/>
    </row>
    <row r="552" spans="1:8">
      <c r="A552" s="437" t="s">
        <v>1989</v>
      </c>
      <c r="B552" s="435"/>
      <c r="D552" s="434" t="s">
        <v>880</v>
      </c>
      <c r="E552" s="435" t="s">
        <v>3785</v>
      </c>
      <c r="G552" s="434" t="s">
        <v>9872</v>
      </c>
      <c r="H552" s="435" t="s">
        <v>9873</v>
      </c>
    </row>
    <row r="553" spans="1:8">
      <c r="A553" s="437" t="s">
        <v>1990</v>
      </c>
      <c r="B553" s="435"/>
      <c r="D553" s="434" t="s">
        <v>3786</v>
      </c>
      <c r="E553" s="435" t="s">
        <v>3785</v>
      </c>
      <c r="G553" s="434" t="s">
        <v>9874</v>
      </c>
      <c r="H553" s="435" t="s">
        <v>9873</v>
      </c>
    </row>
    <row r="554" spans="1:8">
      <c r="A554" s="437" t="s">
        <v>1991</v>
      </c>
      <c r="B554" s="435"/>
      <c r="D554" s="434" t="s">
        <v>3787</v>
      </c>
      <c r="E554" s="435" t="s">
        <v>3788</v>
      </c>
      <c r="G554" s="437" t="s">
        <v>9875</v>
      </c>
      <c r="H554" s="435"/>
    </row>
    <row r="555" spans="1:8">
      <c r="A555" s="437" t="s">
        <v>1992</v>
      </c>
      <c r="B555" s="435"/>
      <c r="D555" s="437" t="s">
        <v>3789</v>
      </c>
      <c r="E555" s="435"/>
      <c r="G555" s="437" t="s">
        <v>9872</v>
      </c>
      <c r="H555" s="435"/>
    </row>
    <row r="556" spans="1:8">
      <c r="A556" s="437" t="s">
        <v>1993</v>
      </c>
      <c r="B556" s="435"/>
      <c r="D556" s="437" t="s">
        <v>3790</v>
      </c>
      <c r="E556" s="435"/>
      <c r="G556" s="437" t="s">
        <v>9876</v>
      </c>
      <c r="H556" s="435"/>
    </row>
    <row r="557" spans="1:8">
      <c r="A557" s="437" t="s">
        <v>1994</v>
      </c>
      <c r="B557" s="435"/>
      <c r="D557" s="434" t="s">
        <v>3791</v>
      </c>
      <c r="E557" s="435" t="s">
        <v>3792</v>
      </c>
      <c r="G557" s="437" t="s">
        <v>9877</v>
      </c>
      <c r="H557" s="435"/>
    </row>
    <row r="558" spans="1:8">
      <c r="A558" s="437" t="s">
        <v>1995</v>
      </c>
      <c r="B558" s="435"/>
      <c r="D558" s="434" t="s">
        <v>3793</v>
      </c>
      <c r="E558" s="435" t="s">
        <v>3794</v>
      </c>
      <c r="G558" s="437" t="s">
        <v>9878</v>
      </c>
      <c r="H558" s="435"/>
    </row>
    <row r="559" spans="1:8">
      <c r="A559" s="437" t="s">
        <v>1996</v>
      </c>
      <c r="B559" s="435"/>
      <c r="D559" s="434" t="s">
        <v>3795</v>
      </c>
      <c r="E559" s="435" t="s">
        <v>3796</v>
      </c>
      <c r="G559" s="437" t="s">
        <v>9879</v>
      </c>
      <c r="H559" s="435"/>
    </row>
    <row r="560" spans="1:8">
      <c r="A560" s="437" t="s">
        <v>1997</v>
      </c>
      <c r="B560" s="435"/>
      <c r="D560" s="434" t="s">
        <v>804</v>
      </c>
      <c r="E560" s="435" t="s">
        <v>3797</v>
      </c>
      <c r="G560" s="437" t="s">
        <v>9880</v>
      </c>
      <c r="H560" s="435"/>
    </row>
    <row r="561" spans="1:8">
      <c r="A561" s="437" t="s">
        <v>1998</v>
      </c>
      <c r="B561" s="435"/>
      <c r="D561" s="434" t="s">
        <v>3798</v>
      </c>
      <c r="E561" s="435" t="s">
        <v>3799</v>
      </c>
      <c r="G561" s="437" t="s">
        <v>9881</v>
      </c>
      <c r="H561" s="435"/>
    </row>
    <row r="562" spans="1:8">
      <c r="A562" s="434" t="s">
        <v>1999</v>
      </c>
      <c r="B562" s="435" t="s">
        <v>2000</v>
      </c>
      <c r="D562" s="434" t="s">
        <v>3800</v>
      </c>
      <c r="E562" s="435" t="s">
        <v>3801</v>
      </c>
      <c r="G562" s="437" t="s">
        <v>9882</v>
      </c>
      <c r="H562" s="435"/>
    </row>
    <row r="563" spans="1:8">
      <c r="A563" s="437" t="s">
        <v>2001</v>
      </c>
      <c r="B563" s="435"/>
      <c r="D563" s="437" t="s">
        <v>3802</v>
      </c>
      <c r="E563" s="435"/>
      <c r="G563" s="434" t="s">
        <v>4818</v>
      </c>
      <c r="H563" s="435" t="s">
        <v>4819</v>
      </c>
    </row>
    <row r="564" spans="1:8">
      <c r="A564" s="437" t="s">
        <v>2002</v>
      </c>
      <c r="B564" s="435"/>
      <c r="D564" s="434" t="s">
        <v>3803</v>
      </c>
      <c r="E564" s="435" t="s">
        <v>3804</v>
      </c>
      <c r="G564" s="437" t="s">
        <v>4820</v>
      </c>
      <c r="H564" s="435"/>
    </row>
    <row r="565" spans="1:8">
      <c r="A565" s="437" t="s">
        <v>2003</v>
      </c>
      <c r="B565" s="435"/>
      <c r="D565" s="437" t="s">
        <v>3805</v>
      </c>
      <c r="E565" s="435"/>
      <c r="G565" s="437" t="s">
        <v>4821</v>
      </c>
      <c r="H565" s="435"/>
    </row>
    <row r="566" spans="1:8">
      <c r="A566" s="437" t="s">
        <v>2004</v>
      </c>
      <c r="B566" s="435"/>
      <c r="D566" s="437" t="s">
        <v>3806</v>
      </c>
      <c r="E566" s="435"/>
      <c r="G566" s="437" t="s">
        <v>4822</v>
      </c>
      <c r="H566" s="435"/>
    </row>
    <row r="567" spans="1:8">
      <c r="A567" s="437" t="s">
        <v>2005</v>
      </c>
      <c r="B567" s="435"/>
      <c r="D567" s="434" t="s">
        <v>805</v>
      </c>
      <c r="E567" s="435" t="s">
        <v>3807</v>
      </c>
      <c r="G567" s="434" t="s">
        <v>9883</v>
      </c>
      <c r="H567" s="435" t="s">
        <v>9884</v>
      </c>
    </row>
    <row r="568" spans="1:8">
      <c r="A568" s="437" t="s">
        <v>2006</v>
      </c>
      <c r="B568" s="435"/>
      <c r="D568" s="434" t="s">
        <v>806</v>
      </c>
      <c r="E568" s="435" t="s">
        <v>3808</v>
      </c>
      <c r="G568" s="437" t="s">
        <v>9885</v>
      </c>
      <c r="H568" s="435"/>
    </row>
    <row r="569" spans="1:8">
      <c r="A569" s="434" t="s">
        <v>2007</v>
      </c>
      <c r="B569" s="435" t="s">
        <v>2008</v>
      </c>
      <c r="D569" s="437" t="s">
        <v>3809</v>
      </c>
      <c r="E569" s="435"/>
      <c r="G569" s="434" t="s">
        <v>4851</v>
      </c>
      <c r="H569" s="435" t="s">
        <v>4852</v>
      </c>
    </row>
    <row r="570" spans="1:8">
      <c r="A570" s="437" t="s">
        <v>2009</v>
      </c>
      <c r="B570" s="435"/>
      <c r="D570" s="437" t="s">
        <v>3810</v>
      </c>
      <c r="E570" s="435"/>
      <c r="G570" s="437" t="s">
        <v>4853</v>
      </c>
      <c r="H570" s="435"/>
    </row>
    <row r="571" spans="1:8">
      <c r="A571" s="437" t="s">
        <v>2010</v>
      </c>
      <c r="B571" s="435"/>
      <c r="D571" s="437" t="s">
        <v>3811</v>
      </c>
      <c r="E571" s="435"/>
      <c r="G571" s="437" t="s">
        <v>4854</v>
      </c>
      <c r="H571" s="435"/>
    </row>
    <row r="572" spans="1:8">
      <c r="A572" s="437" t="s">
        <v>2011</v>
      </c>
      <c r="B572" s="435"/>
      <c r="D572" s="434" t="s">
        <v>875</v>
      </c>
      <c r="E572" s="435" t="s">
        <v>3812</v>
      </c>
      <c r="G572" s="434" t="s">
        <v>9886</v>
      </c>
      <c r="H572" s="435" t="s">
        <v>9887</v>
      </c>
    </row>
    <row r="573" spans="1:8">
      <c r="A573" s="437" t="s">
        <v>2012</v>
      </c>
      <c r="B573" s="435"/>
      <c r="D573" s="434" t="s">
        <v>3813</v>
      </c>
      <c r="E573" s="435" t="s">
        <v>3812</v>
      </c>
      <c r="G573" s="437" t="s">
        <v>9888</v>
      </c>
      <c r="H573" s="435"/>
    </row>
    <row r="574" spans="1:8">
      <c r="A574" s="437" t="s">
        <v>2013</v>
      </c>
      <c r="B574" s="435"/>
      <c r="D574" s="437" t="s">
        <v>3814</v>
      </c>
      <c r="E574" s="435"/>
      <c r="G574" s="437" t="s">
        <v>9889</v>
      </c>
      <c r="H574" s="435"/>
    </row>
    <row r="575" spans="1:8">
      <c r="A575" s="437" t="s">
        <v>2014</v>
      </c>
      <c r="B575" s="435"/>
      <c r="D575" s="437" t="s">
        <v>3815</v>
      </c>
      <c r="E575" s="435"/>
      <c r="G575" s="434" t="s">
        <v>9890</v>
      </c>
      <c r="H575" s="435" t="s">
        <v>9891</v>
      </c>
    </row>
    <row r="576" spans="1:8">
      <c r="A576" s="434" t="s">
        <v>2015</v>
      </c>
      <c r="B576" s="435" t="s">
        <v>2016</v>
      </c>
      <c r="D576" s="434" t="s">
        <v>1084</v>
      </c>
      <c r="E576" s="435" t="s">
        <v>3816</v>
      </c>
      <c r="G576" s="437" t="s">
        <v>9892</v>
      </c>
      <c r="H576" s="435"/>
    </row>
    <row r="577" spans="1:8">
      <c r="A577" s="437" t="s">
        <v>2017</v>
      </c>
      <c r="B577" s="435"/>
      <c r="D577" s="434" t="s">
        <v>594</v>
      </c>
      <c r="E577" s="435" t="s">
        <v>3817</v>
      </c>
      <c r="G577" s="437" t="s">
        <v>9893</v>
      </c>
      <c r="H577" s="435"/>
    </row>
    <row r="578" spans="1:8">
      <c r="A578" s="434" t="s">
        <v>2018</v>
      </c>
      <c r="B578" s="435" t="s">
        <v>2019</v>
      </c>
      <c r="D578" s="437" t="s">
        <v>3818</v>
      </c>
      <c r="E578" s="435"/>
      <c r="G578" s="437" t="s">
        <v>9894</v>
      </c>
      <c r="H578" s="435"/>
    </row>
    <row r="579" spans="1:8">
      <c r="A579" s="437" t="s">
        <v>2020</v>
      </c>
      <c r="B579" s="435"/>
      <c r="D579" s="437" t="s">
        <v>3819</v>
      </c>
      <c r="E579" s="435"/>
      <c r="G579" s="437" t="s">
        <v>9895</v>
      </c>
      <c r="H579" s="435"/>
    </row>
    <row r="580" spans="1:8">
      <c r="A580" s="437" t="s">
        <v>2021</v>
      </c>
      <c r="B580" s="435"/>
      <c r="D580" s="437" t="s">
        <v>3820</v>
      </c>
      <c r="E580" s="435"/>
      <c r="G580" s="437" t="s">
        <v>9896</v>
      </c>
      <c r="H580" s="435"/>
    </row>
    <row r="581" spans="1:8">
      <c r="A581" s="437" t="s">
        <v>2022</v>
      </c>
      <c r="B581" s="435"/>
      <c r="D581" s="437" t="s">
        <v>3821</v>
      </c>
      <c r="E581" s="435"/>
      <c r="G581" s="434" t="s">
        <v>9897</v>
      </c>
      <c r="H581" s="435" t="s">
        <v>9898</v>
      </c>
    </row>
    <row r="582" spans="1:8">
      <c r="A582" s="437" t="s">
        <v>2023</v>
      </c>
      <c r="B582" s="435"/>
      <c r="D582" s="437" t="s">
        <v>3822</v>
      </c>
      <c r="E582" s="435"/>
      <c r="G582" s="434" t="s">
        <v>9899</v>
      </c>
      <c r="H582" s="435" t="s">
        <v>9900</v>
      </c>
    </row>
    <row r="583" spans="1:8">
      <c r="A583" s="434" t="s">
        <v>2024</v>
      </c>
      <c r="B583" s="435" t="s">
        <v>2025</v>
      </c>
      <c r="D583" s="434" t="s">
        <v>3823</v>
      </c>
      <c r="E583" s="435" t="s">
        <v>3824</v>
      </c>
      <c r="G583" s="437" t="s">
        <v>9901</v>
      </c>
      <c r="H583" s="435"/>
    </row>
    <row r="584" spans="1:8">
      <c r="A584" s="437" t="s">
        <v>2026</v>
      </c>
      <c r="B584" s="435"/>
      <c r="D584" s="434" t="s">
        <v>3825</v>
      </c>
      <c r="E584" s="435" t="s">
        <v>3824</v>
      </c>
      <c r="G584" s="434" t="s">
        <v>9902</v>
      </c>
      <c r="H584" s="435" t="s">
        <v>9903</v>
      </c>
    </row>
    <row r="585" spans="1:8">
      <c r="A585" s="437" t="s">
        <v>2027</v>
      </c>
      <c r="B585" s="435"/>
      <c r="D585" s="437" t="s">
        <v>3826</v>
      </c>
      <c r="E585" s="435"/>
      <c r="G585" s="437" t="s">
        <v>9904</v>
      </c>
      <c r="H585" s="435"/>
    </row>
    <row r="586" spans="1:8">
      <c r="A586" s="437" t="s">
        <v>2028</v>
      </c>
      <c r="B586" s="435"/>
      <c r="D586" s="434" t="s">
        <v>3827</v>
      </c>
      <c r="E586" s="435" t="s">
        <v>3828</v>
      </c>
      <c r="G586" s="434" t="s">
        <v>5167</v>
      </c>
      <c r="H586" s="435" t="s">
        <v>5168</v>
      </c>
    </row>
    <row r="587" spans="1:8">
      <c r="A587" s="437" t="s">
        <v>2029</v>
      </c>
      <c r="B587" s="435"/>
      <c r="D587" s="437" t="s">
        <v>3829</v>
      </c>
      <c r="E587" s="435"/>
      <c r="G587" s="434" t="s">
        <v>9905</v>
      </c>
      <c r="H587" s="435" t="s">
        <v>9906</v>
      </c>
    </row>
    <row r="588" spans="1:8">
      <c r="A588" s="434" t="s">
        <v>2030</v>
      </c>
      <c r="B588" s="435" t="s">
        <v>2031</v>
      </c>
      <c r="D588" s="434" t="s">
        <v>3830</v>
      </c>
      <c r="E588" s="435" t="s">
        <v>3831</v>
      </c>
      <c r="G588" s="437" t="s">
        <v>9907</v>
      </c>
      <c r="H588" s="435"/>
    </row>
    <row r="589" spans="1:8">
      <c r="A589" s="434" t="s">
        <v>2032</v>
      </c>
      <c r="B589" s="435" t="s">
        <v>2031</v>
      </c>
      <c r="D589" s="437" t="s">
        <v>3832</v>
      </c>
      <c r="E589" s="435"/>
      <c r="G589" s="437" t="s">
        <v>9908</v>
      </c>
      <c r="H589" s="435"/>
    </row>
    <row r="590" spans="1:8">
      <c r="A590" s="437" t="s">
        <v>2033</v>
      </c>
      <c r="B590" s="435"/>
      <c r="D590" s="437" t="s">
        <v>3833</v>
      </c>
      <c r="E590" s="435"/>
      <c r="G590" s="437" t="s">
        <v>9909</v>
      </c>
      <c r="H590" s="435"/>
    </row>
    <row r="591" spans="1:8">
      <c r="A591" s="437" t="s">
        <v>2034</v>
      </c>
      <c r="B591" s="435"/>
      <c r="D591" s="437" t="s">
        <v>3834</v>
      </c>
      <c r="E591" s="435"/>
      <c r="G591" s="437" t="s">
        <v>9910</v>
      </c>
      <c r="H591" s="435"/>
    </row>
    <row r="592" spans="1:8">
      <c r="A592" s="437" t="s">
        <v>2035</v>
      </c>
      <c r="B592" s="435"/>
      <c r="D592" s="437" t="s">
        <v>3835</v>
      </c>
      <c r="E592" s="435"/>
      <c r="G592" s="437" t="s">
        <v>9911</v>
      </c>
      <c r="H592" s="435"/>
    </row>
    <row r="593" spans="1:8">
      <c r="A593" s="437" t="s">
        <v>2036</v>
      </c>
      <c r="B593" s="435"/>
      <c r="D593" s="434" t="s">
        <v>879</v>
      </c>
      <c r="E593" s="435" t="s">
        <v>3836</v>
      </c>
      <c r="G593" s="437" t="s">
        <v>9912</v>
      </c>
      <c r="H593" s="435"/>
    </row>
    <row r="594" spans="1:8">
      <c r="A594" s="437" t="s">
        <v>2037</v>
      </c>
      <c r="B594" s="435"/>
      <c r="D594" s="434" t="s">
        <v>3837</v>
      </c>
      <c r="E594" s="435" t="s">
        <v>3836</v>
      </c>
      <c r="G594" s="437" t="s">
        <v>9913</v>
      </c>
      <c r="H594" s="435"/>
    </row>
    <row r="595" spans="1:8">
      <c r="A595" s="437" t="s">
        <v>2038</v>
      </c>
      <c r="B595" s="435"/>
      <c r="D595" s="437" t="s">
        <v>3838</v>
      </c>
      <c r="E595" s="435"/>
      <c r="G595" s="437" t="s">
        <v>9914</v>
      </c>
      <c r="H595" s="435"/>
    </row>
    <row r="596" spans="1:8">
      <c r="A596" s="437" t="s">
        <v>2039</v>
      </c>
      <c r="B596" s="435"/>
      <c r="D596" s="437" t="s">
        <v>3839</v>
      </c>
      <c r="E596" s="435"/>
      <c r="G596" s="437" t="s">
        <v>9915</v>
      </c>
      <c r="H596" s="435"/>
    </row>
    <row r="597" spans="1:8">
      <c r="A597" s="437" t="s">
        <v>2040</v>
      </c>
      <c r="B597" s="435"/>
      <c r="D597" s="437" t="s">
        <v>3840</v>
      </c>
      <c r="E597" s="435"/>
      <c r="G597" s="437" t="s">
        <v>9916</v>
      </c>
      <c r="H597" s="435"/>
    </row>
    <row r="598" spans="1:8">
      <c r="A598" s="437" t="s">
        <v>2041</v>
      </c>
      <c r="B598" s="435"/>
      <c r="D598" s="437" t="s">
        <v>3841</v>
      </c>
      <c r="E598" s="435"/>
      <c r="G598" s="437" t="s">
        <v>9917</v>
      </c>
      <c r="H598" s="435"/>
    </row>
    <row r="599" spans="1:8">
      <c r="A599" s="437" t="s">
        <v>2042</v>
      </c>
      <c r="B599" s="435"/>
      <c r="D599" s="434" t="s">
        <v>1090</v>
      </c>
      <c r="E599" s="435" t="s">
        <v>3842</v>
      </c>
      <c r="G599" s="437" t="s">
        <v>9918</v>
      </c>
      <c r="H599" s="435"/>
    </row>
    <row r="600" spans="1:8">
      <c r="A600" s="437" t="s">
        <v>2043</v>
      </c>
      <c r="B600" s="435"/>
      <c r="D600" s="434" t="s">
        <v>3843</v>
      </c>
      <c r="E600" s="435" t="s">
        <v>3842</v>
      </c>
      <c r="G600" s="437" t="s">
        <v>9919</v>
      </c>
      <c r="H600" s="435"/>
    </row>
    <row r="601" spans="1:8">
      <c r="A601" s="437" t="s">
        <v>2044</v>
      </c>
      <c r="B601" s="435"/>
      <c r="D601" s="437" t="s">
        <v>3844</v>
      </c>
      <c r="E601" s="435"/>
      <c r="G601" s="437" t="s">
        <v>9920</v>
      </c>
      <c r="H601" s="435"/>
    </row>
    <row r="602" spans="1:8">
      <c r="A602" s="437" t="s">
        <v>2045</v>
      </c>
      <c r="B602" s="435"/>
      <c r="D602" s="437" t="s">
        <v>3845</v>
      </c>
      <c r="E602" s="435"/>
      <c r="G602" s="437" t="s">
        <v>9921</v>
      </c>
      <c r="H602" s="435"/>
    </row>
    <row r="603" spans="1:8">
      <c r="A603" s="437" t="s">
        <v>2046</v>
      </c>
      <c r="B603" s="435"/>
      <c r="D603" s="437" t="s">
        <v>3846</v>
      </c>
      <c r="E603" s="435"/>
      <c r="G603" s="437" t="s">
        <v>9922</v>
      </c>
      <c r="H603" s="435"/>
    </row>
    <row r="604" spans="1:8">
      <c r="A604" s="437" t="s">
        <v>2047</v>
      </c>
      <c r="B604" s="435"/>
      <c r="D604" s="437" t="s">
        <v>3847</v>
      </c>
      <c r="E604" s="435"/>
      <c r="G604" s="434" t="s">
        <v>9923</v>
      </c>
      <c r="H604" s="435" t="s">
        <v>9924</v>
      </c>
    </row>
    <row r="605" spans="1:8">
      <c r="A605" s="437" t="s">
        <v>2048</v>
      </c>
      <c r="B605" s="435"/>
      <c r="D605" s="434" t="s">
        <v>3848</v>
      </c>
      <c r="E605" s="435" t="s">
        <v>3849</v>
      </c>
      <c r="G605" s="437" t="s">
        <v>9925</v>
      </c>
      <c r="H605" s="435"/>
    </row>
    <row r="606" spans="1:8">
      <c r="A606" s="437" t="s">
        <v>2049</v>
      </c>
      <c r="B606" s="435"/>
      <c r="D606" s="434" t="s">
        <v>3850</v>
      </c>
      <c r="E606" s="435" t="s">
        <v>3849</v>
      </c>
      <c r="G606" s="434" t="s">
        <v>9926</v>
      </c>
      <c r="H606" s="435" t="s">
        <v>9927</v>
      </c>
    </row>
    <row r="607" spans="1:8">
      <c r="A607" s="437" t="s">
        <v>2050</v>
      </c>
      <c r="B607" s="435"/>
      <c r="D607" s="437" t="s">
        <v>3851</v>
      </c>
      <c r="E607" s="435"/>
      <c r="G607" s="437" t="s">
        <v>9928</v>
      </c>
      <c r="H607" s="435"/>
    </row>
    <row r="608" spans="1:8">
      <c r="A608" s="437" t="s">
        <v>2051</v>
      </c>
      <c r="B608" s="435"/>
      <c r="D608" s="434" t="s">
        <v>3852</v>
      </c>
      <c r="E608" s="435" t="s">
        <v>3853</v>
      </c>
      <c r="G608" s="434" t="s">
        <v>5192</v>
      </c>
      <c r="H608" s="435" t="s">
        <v>5193</v>
      </c>
    </row>
    <row r="609" spans="1:8">
      <c r="A609" s="437" t="s">
        <v>2052</v>
      </c>
      <c r="B609" s="435"/>
      <c r="D609" s="434" t="s">
        <v>3854</v>
      </c>
      <c r="E609" s="435" t="s">
        <v>3853</v>
      </c>
      <c r="G609" s="434" t="s">
        <v>5194</v>
      </c>
      <c r="H609" s="435" t="s">
        <v>5195</v>
      </c>
    </row>
    <row r="610" spans="1:8">
      <c r="A610" s="437" t="s">
        <v>2053</v>
      </c>
      <c r="B610" s="435"/>
      <c r="D610" s="437" t="s">
        <v>3855</v>
      </c>
      <c r="E610" s="435"/>
      <c r="G610" s="437" t="s">
        <v>5196</v>
      </c>
      <c r="H610" s="435"/>
    </row>
    <row r="611" spans="1:8">
      <c r="A611" s="437" t="s">
        <v>2054</v>
      </c>
      <c r="B611" s="435"/>
      <c r="D611" s="437" t="s">
        <v>3856</v>
      </c>
      <c r="E611" s="435"/>
      <c r="G611" s="437" t="s">
        <v>5197</v>
      </c>
      <c r="H611" s="435"/>
    </row>
    <row r="612" spans="1:8">
      <c r="A612" s="437" t="s">
        <v>2055</v>
      </c>
      <c r="B612" s="435"/>
      <c r="D612" s="437" t="s">
        <v>3857</v>
      </c>
      <c r="E612" s="435"/>
      <c r="G612" s="437" t="s">
        <v>5198</v>
      </c>
      <c r="H612" s="435"/>
    </row>
    <row r="613" spans="1:8">
      <c r="A613" s="437" t="s">
        <v>2056</v>
      </c>
      <c r="B613" s="435"/>
      <c r="D613" s="434" t="s">
        <v>3858</v>
      </c>
      <c r="E613" s="435" t="s">
        <v>3859</v>
      </c>
      <c r="G613" s="434" t="s">
        <v>5199</v>
      </c>
      <c r="H613" s="435" t="s">
        <v>5193</v>
      </c>
    </row>
    <row r="614" spans="1:8">
      <c r="A614" s="437" t="s">
        <v>2057</v>
      </c>
      <c r="B614" s="435"/>
      <c r="D614" s="434" t="s">
        <v>3860</v>
      </c>
      <c r="E614" s="435" t="s">
        <v>3861</v>
      </c>
      <c r="G614" s="437" t="s">
        <v>5200</v>
      </c>
      <c r="H614" s="435"/>
    </row>
    <row r="615" spans="1:8">
      <c r="A615" s="437" t="s">
        <v>2058</v>
      </c>
      <c r="B615" s="435"/>
      <c r="D615" s="437" t="s">
        <v>3862</v>
      </c>
      <c r="E615" s="435"/>
      <c r="G615" s="437" t="s">
        <v>5201</v>
      </c>
      <c r="H615" s="435"/>
    </row>
    <row r="616" spans="1:8">
      <c r="A616" s="437" t="s">
        <v>2059</v>
      </c>
      <c r="B616" s="435"/>
      <c r="D616" s="437" t="s">
        <v>3863</v>
      </c>
      <c r="E616" s="435"/>
      <c r="G616" s="437" t="s">
        <v>5202</v>
      </c>
      <c r="H616" s="435"/>
    </row>
    <row r="617" spans="1:8">
      <c r="A617" s="437" t="s">
        <v>2060</v>
      </c>
      <c r="B617" s="435"/>
      <c r="D617" s="437" t="s">
        <v>3864</v>
      </c>
      <c r="E617" s="435"/>
      <c r="G617" s="434" t="s">
        <v>9929</v>
      </c>
      <c r="H617" s="435" t="s">
        <v>9930</v>
      </c>
    </row>
    <row r="618" spans="1:8">
      <c r="A618" s="437" t="s">
        <v>2061</v>
      </c>
      <c r="B618" s="435"/>
      <c r="D618" s="437" t="s">
        <v>3865</v>
      </c>
      <c r="E618" s="435"/>
      <c r="G618" s="437" t="s">
        <v>9931</v>
      </c>
      <c r="H618" s="435"/>
    </row>
    <row r="619" spans="1:8">
      <c r="A619" s="437" t="s">
        <v>2062</v>
      </c>
      <c r="B619" s="435"/>
      <c r="D619" s="437" t="s">
        <v>3866</v>
      </c>
      <c r="E619" s="435"/>
      <c r="G619" s="437" t="s">
        <v>9932</v>
      </c>
      <c r="H619" s="435"/>
    </row>
    <row r="620" spans="1:8">
      <c r="A620" s="437" t="s">
        <v>2063</v>
      </c>
      <c r="B620" s="435"/>
      <c r="D620" s="434" t="s">
        <v>3867</v>
      </c>
      <c r="E620" s="435" t="s">
        <v>3868</v>
      </c>
      <c r="G620" s="437" t="s">
        <v>9933</v>
      </c>
      <c r="H620" s="435"/>
    </row>
    <row r="621" spans="1:8">
      <c r="A621" s="437" t="s">
        <v>2064</v>
      </c>
      <c r="B621" s="435"/>
      <c r="D621" s="437" t="s">
        <v>3869</v>
      </c>
      <c r="E621" s="435"/>
      <c r="G621" s="434" t="s">
        <v>9934</v>
      </c>
      <c r="H621" s="435" t="s">
        <v>9935</v>
      </c>
    </row>
    <row r="622" spans="1:8">
      <c r="A622" s="437" t="s">
        <v>2065</v>
      </c>
      <c r="B622" s="435"/>
      <c r="D622" s="437" t="s">
        <v>3870</v>
      </c>
      <c r="E622" s="435"/>
      <c r="G622" s="437" t="s">
        <v>9936</v>
      </c>
      <c r="H622" s="435"/>
    </row>
    <row r="623" spans="1:8">
      <c r="A623" s="437" t="s">
        <v>2066</v>
      </c>
      <c r="B623" s="435"/>
      <c r="D623" s="437" t="s">
        <v>3871</v>
      </c>
      <c r="E623" s="435"/>
      <c r="G623" s="437" t="s">
        <v>9937</v>
      </c>
      <c r="H623" s="435"/>
    </row>
    <row r="624" spans="1:8">
      <c r="A624" s="437" t="s">
        <v>2067</v>
      </c>
      <c r="B624" s="435"/>
      <c r="D624" s="437" t="s">
        <v>3872</v>
      </c>
      <c r="E624" s="435"/>
      <c r="G624" s="437" t="s">
        <v>9938</v>
      </c>
      <c r="H624" s="435"/>
    </row>
    <row r="625" spans="1:8">
      <c r="A625" s="437" t="s">
        <v>2068</v>
      </c>
      <c r="B625" s="435"/>
      <c r="D625" s="437" t="s">
        <v>3873</v>
      </c>
      <c r="E625" s="435"/>
      <c r="G625" s="437" t="s">
        <v>9939</v>
      </c>
      <c r="H625" s="435"/>
    </row>
    <row r="626" spans="1:8">
      <c r="A626" s="437" t="s">
        <v>2069</v>
      </c>
      <c r="B626" s="435"/>
      <c r="D626" s="434" t="s">
        <v>3874</v>
      </c>
      <c r="E626" s="435" t="s">
        <v>3875</v>
      </c>
      <c r="G626" s="437" t="s">
        <v>9940</v>
      </c>
      <c r="H626" s="435"/>
    </row>
    <row r="627" spans="1:8">
      <c r="A627" s="434" t="s">
        <v>2070</v>
      </c>
      <c r="B627" s="435" t="s">
        <v>2071</v>
      </c>
      <c r="D627" s="434" t="s">
        <v>3876</v>
      </c>
      <c r="E627" s="435" t="s">
        <v>3875</v>
      </c>
      <c r="G627" s="437" t="s">
        <v>9941</v>
      </c>
      <c r="H627" s="435"/>
    </row>
    <row r="628" spans="1:8">
      <c r="A628" s="437" t="s">
        <v>2072</v>
      </c>
      <c r="B628" s="435"/>
      <c r="D628" s="437" t="s">
        <v>3877</v>
      </c>
      <c r="E628" s="435"/>
      <c r="G628" s="434" t="s">
        <v>9942</v>
      </c>
      <c r="H628" s="435" t="s">
        <v>9943</v>
      </c>
    </row>
    <row r="629" spans="1:8">
      <c r="A629" s="434" t="s">
        <v>2073</v>
      </c>
      <c r="B629" s="435" t="s">
        <v>2074</v>
      </c>
      <c r="D629" s="434" t="s">
        <v>3878</v>
      </c>
      <c r="E629" s="435" t="s">
        <v>3879</v>
      </c>
      <c r="G629" s="434" t="s">
        <v>9944</v>
      </c>
      <c r="H629" s="435" t="s">
        <v>9945</v>
      </c>
    </row>
    <row r="630" spans="1:8">
      <c r="A630" s="437" t="s">
        <v>2075</v>
      </c>
      <c r="B630" s="435"/>
      <c r="D630" s="434" t="s">
        <v>3880</v>
      </c>
      <c r="E630" s="435" t="s">
        <v>3881</v>
      </c>
      <c r="G630" s="437" t="s">
        <v>9946</v>
      </c>
      <c r="H630" s="435"/>
    </row>
    <row r="631" spans="1:8">
      <c r="A631" s="437" t="s">
        <v>2076</v>
      </c>
      <c r="B631" s="435"/>
      <c r="D631" s="437" t="s">
        <v>3882</v>
      </c>
      <c r="E631" s="435"/>
      <c r="G631" s="437" t="s">
        <v>9947</v>
      </c>
      <c r="H631" s="435"/>
    </row>
    <row r="632" spans="1:8">
      <c r="A632" s="437" t="s">
        <v>2077</v>
      </c>
      <c r="B632" s="435"/>
      <c r="D632" s="437" t="s">
        <v>3883</v>
      </c>
      <c r="E632" s="435"/>
      <c r="G632" s="437" t="s">
        <v>9948</v>
      </c>
      <c r="H632" s="435"/>
    </row>
    <row r="633" spans="1:8">
      <c r="A633" s="437" t="s">
        <v>2078</v>
      </c>
      <c r="B633" s="435"/>
      <c r="D633" s="437" t="s">
        <v>3884</v>
      </c>
      <c r="E633" s="435"/>
      <c r="G633" s="437" t="s">
        <v>9949</v>
      </c>
      <c r="H633" s="435"/>
    </row>
    <row r="634" spans="1:8">
      <c r="A634" s="434" t="s">
        <v>2079</v>
      </c>
      <c r="B634" s="435" t="s">
        <v>2080</v>
      </c>
      <c r="D634" s="437" t="s">
        <v>3885</v>
      </c>
      <c r="E634" s="435"/>
      <c r="G634" s="437" t="s">
        <v>9950</v>
      </c>
      <c r="H634" s="435"/>
    </row>
    <row r="635" spans="1:8">
      <c r="A635" s="437" t="s">
        <v>2081</v>
      </c>
      <c r="B635" s="435"/>
      <c r="D635" s="437" t="s">
        <v>3886</v>
      </c>
      <c r="E635" s="435"/>
      <c r="G635" s="437" t="s">
        <v>9951</v>
      </c>
      <c r="H635" s="435"/>
    </row>
    <row r="636" spans="1:8">
      <c r="A636" s="437" t="s">
        <v>2082</v>
      </c>
      <c r="B636" s="435"/>
      <c r="D636" s="437" t="s">
        <v>3887</v>
      </c>
      <c r="E636" s="435"/>
      <c r="G636" s="437" t="s">
        <v>9952</v>
      </c>
      <c r="H636" s="435"/>
    </row>
    <row r="637" spans="1:8">
      <c r="A637" s="437" t="s">
        <v>2083</v>
      </c>
      <c r="B637" s="435"/>
      <c r="D637" s="434" t="s">
        <v>3888</v>
      </c>
      <c r="E637" s="435" t="s">
        <v>3889</v>
      </c>
      <c r="G637" s="437" t="s">
        <v>9953</v>
      </c>
      <c r="H637" s="435"/>
    </row>
    <row r="638" spans="1:8">
      <c r="A638" s="437" t="s">
        <v>2084</v>
      </c>
      <c r="B638" s="435"/>
      <c r="D638" s="437" t="s">
        <v>3890</v>
      </c>
      <c r="E638" s="435"/>
      <c r="G638" s="434" t="s">
        <v>9954</v>
      </c>
      <c r="H638" s="435" t="s">
        <v>9955</v>
      </c>
    </row>
    <row r="639" spans="1:8">
      <c r="A639" s="437" t="s">
        <v>2085</v>
      </c>
      <c r="B639" s="435"/>
      <c r="D639" s="437" t="s">
        <v>3891</v>
      </c>
      <c r="E639" s="435"/>
      <c r="G639" s="434" t="s">
        <v>5379</v>
      </c>
      <c r="H639" s="435" t="s">
        <v>5380</v>
      </c>
    </row>
    <row r="640" spans="1:8">
      <c r="A640" s="437" t="s">
        <v>2086</v>
      </c>
      <c r="B640" s="435"/>
      <c r="D640" s="437" t="s">
        <v>3892</v>
      </c>
      <c r="E640" s="435"/>
      <c r="G640" s="434" t="s">
        <v>5381</v>
      </c>
      <c r="H640" s="435" t="s">
        <v>5380</v>
      </c>
    </row>
    <row r="641" spans="1:8">
      <c r="A641" s="437" t="s">
        <v>2087</v>
      </c>
      <c r="B641" s="435"/>
      <c r="D641" s="437" t="s">
        <v>3893</v>
      </c>
      <c r="E641" s="435"/>
      <c r="G641" s="437" t="s">
        <v>5382</v>
      </c>
      <c r="H641" s="435"/>
    </row>
    <row r="642" spans="1:8">
      <c r="A642" s="437" t="s">
        <v>2088</v>
      </c>
      <c r="B642" s="435"/>
      <c r="D642" s="437" t="s">
        <v>3894</v>
      </c>
      <c r="E642" s="435"/>
      <c r="G642" s="437" t="s">
        <v>5383</v>
      </c>
      <c r="H642" s="435"/>
    </row>
    <row r="643" spans="1:8">
      <c r="A643" s="437" t="s">
        <v>2089</v>
      </c>
      <c r="B643" s="435"/>
      <c r="D643" s="437" t="s">
        <v>3895</v>
      </c>
      <c r="E643" s="435"/>
      <c r="G643" s="437" t="s">
        <v>5384</v>
      </c>
      <c r="H643" s="435"/>
    </row>
    <row r="644" spans="1:8">
      <c r="A644" s="434" t="s">
        <v>2090</v>
      </c>
      <c r="B644" s="435" t="s">
        <v>2091</v>
      </c>
      <c r="D644" s="437" t="s">
        <v>3896</v>
      </c>
      <c r="E644" s="435"/>
      <c r="G644" s="434" t="s">
        <v>5403</v>
      </c>
      <c r="H644" s="435" t="s">
        <v>5404</v>
      </c>
    </row>
    <row r="645" spans="1:8">
      <c r="A645" s="437" t="s">
        <v>2092</v>
      </c>
      <c r="B645" s="435"/>
      <c r="D645" s="434" t="s">
        <v>3897</v>
      </c>
      <c r="E645" s="435" t="s">
        <v>3898</v>
      </c>
      <c r="G645" s="437" t="s">
        <v>5405</v>
      </c>
      <c r="H645" s="435"/>
    </row>
    <row r="646" spans="1:8">
      <c r="A646" s="437" t="s">
        <v>2093</v>
      </c>
      <c r="B646" s="435"/>
      <c r="D646" s="434" t="s">
        <v>3899</v>
      </c>
      <c r="E646" s="435" t="s">
        <v>3898</v>
      </c>
      <c r="G646" s="437" t="s">
        <v>5405</v>
      </c>
      <c r="H646" s="435"/>
    </row>
    <row r="647" spans="1:8">
      <c r="A647" s="437" t="s">
        <v>2094</v>
      </c>
      <c r="B647" s="435"/>
      <c r="D647" s="437" t="s">
        <v>3900</v>
      </c>
      <c r="E647" s="435"/>
      <c r="G647" s="437" t="s">
        <v>5406</v>
      </c>
      <c r="H647" s="435"/>
    </row>
    <row r="648" spans="1:8">
      <c r="A648" s="434" t="s">
        <v>2095</v>
      </c>
      <c r="B648" s="435" t="s">
        <v>2096</v>
      </c>
      <c r="D648" s="437" t="s">
        <v>3901</v>
      </c>
      <c r="E648" s="435"/>
      <c r="G648" s="437" t="s">
        <v>5407</v>
      </c>
      <c r="H648" s="435"/>
    </row>
    <row r="649" spans="1:8">
      <c r="A649" s="434" t="s">
        <v>2097</v>
      </c>
      <c r="B649" s="435" t="s">
        <v>2096</v>
      </c>
      <c r="D649" s="434" t="s">
        <v>3902</v>
      </c>
      <c r="E649" s="435" t="s">
        <v>3903</v>
      </c>
      <c r="G649" s="437" t="s">
        <v>5408</v>
      </c>
      <c r="H649" s="435"/>
    </row>
    <row r="650" spans="1:8">
      <c r="A650" s="437" t="s">
        <v>2098</v>
      </c>
      <c r="B650" s="435"/>
      <c r="D650" s="434" t="s">
        <v>3904</v>
      </c>
      <c r="E650" s="435" t="s">
        <v>3903</v>
      </c>
      <c r="G650" s="437" t="s">
        <v>5409</v>
      </c>
      <c r="H650" s="435"/>
    </row>
    <row r="651" spans="1:8">
      <c r="A651" s="434" t="s">
        <v>77</v>
      </c>
      <c r="B651" s="435" t="s">
        <v>2099</v>
      </c>
      <c r="D651" s="437" t="s">
        <v>3905</v>
      </c>
      <c r="E651" s="435"/>
      <c r="G651" s="437" t="s">
        <v>5410</v>
      </c>
      <c r="H651" s="435"/>
    </row>
    <row r="652" spans="1:8">
      <c r="A652" s="437" t="s">
        <v>2100</v>
      </c>
      <c r="B652" s="435"/>
      <c r="D652" s="437" t="s">
        <v>3906</v>
      </c>
      <c r="E652" s="435"/>
      <c r="G652" s="437" t="s">
        <v>5411</v>
      </c>
      <c r="H652" s="435"/>
    </row>
    <row r="653" spans="1:8">
      <c r="A653" s="437" t="s">
        <v>2101</v>
      </c>
      <c r="B653" s="435"/>
      <c r="D653" s="437" t="s">
        <v>3907</v>
      </c>
      <c r="E653" s="435"/>
      <c r="G653" s="437" t="s">
        <v>5412</v>
      </c>
      <c r="H653" s="435"/>
    </row>
    <row r="654" spans="1:8">
      <c r="A654" s="437" t="s">
        <v>2102</v>
      </c>
      <c r="B654" s="435"/>
      <c r="D654" s="434" t="s">
        <v>3908</v>
      </c>
      <c r="E654" s="435" t="s">
        <v>3909</v>
      </c>
      <c r="G654" s="437" t="s">
        <v>5413</v>
      </c>
      <c r="H654" s="435"/>
    </row>
    <row r="655" spans="1:8">
      <c r="A655" s="437" t="s">
        <v>2103</v>
      </c>
      <c r="B655" s="435"/>
      <c r="D655" s="434" t="s">
        <v>3910</v>
      </c>
      <c r="E655" s="435" t="s">
        <v>3911</v>
      </c>
      <c r="G655" s="434" t="s">
        <v>5414</v>
      </c>
      <c r="H655" s="435" t="s">
        <v>5415</v>
      </c>
    </row>
    <row r="656" spans="1:8">
      <c r="A656" s="437" t="s">
        <v>2104</v>
      </c>
      <c r="B656" s="435"/>
      <c r="D656" s="437" t="s">
        <v>3912</v>
      </c>
      <c r="E656" s="435"/>
      <c r="G656" s="434" t="s">
        <v>5452</v>
      </c>
      <c r="H656" s="435" t="s">
        <v>5453</v>
      </c>
    </row>
    <row r="657" spans="1:8">
      <c r="A657" s="437" t="s">
        <v>2105</v>
      </c>
      <c r="B657" s="435"/>
      <c r="D657" s="437" t="s">
        <v>3913</v>
      </c>
      <c r="E657" s="435"/>
      <c r="G657" s="437" t="s">
        <v>5454</v>
      </c>
      <c r="H657" s="435"/>
    </row>
    <row r="658" spans="1:8">
      <c r="A658" s="437" t="s">
        <v>2106</v>
      </c>
      <c r="B658" s="435"/>
      <c r="D658" s="437" t="s">
        <v>3914</v>
      </c>
      <c r="E658" s="435"/>
      <c r="G658" s="437" t="s">
        <v>5455</v>
      </c>
      <c r="H658" s="435"/>
    </row>
    <row r="659" spans="1:8">
      <c r="A659" s="434" t="s">
        <v>2107</v>
      </c>
      <c r="B659" s="435" t="s">
        <v>2108</v>
      </c>
      <c r="D659" s="437" t="s">
        <v>3915</v>
      </c>
      <c r="E659" s="435"/>
      <c r="G659" s="437" t="s">
        <v>5456</v>
      </c>
      <c r="H659" s="435"/>
    </row>
    <row r="660" spans="1:8">
      <c r="A660" s="434" t="s">
        <v>2109</v>
      </c>
      <c r="B660" s="435" t="s">
        <v>2110</v>
      </c>
      <c r="D660" s="437" t="s">
        <v>3916</v>
      </c>
      <c r="E660" s="435"/>
      <c r="G660" s="437" t="s">
        <v>5457</v>
      </c>
      <c r="H660" s="435"/>
    </row>
    <row r="661" spans="1:8">
      <c r="A661" s="437" t="s">
        <v>2111</v>
      </c>
      <c r="B661" s="435"/>
      <c r="D661" s="434" t="s">
        <v>602</v>
      </c>
      <c r="E661" s="435" t="s">
        <v>3917</v>
      </c>
      <c r="G661" s="437" t="s">
        <v>5458</v>
      </c>
      <c r="H661" s="435"/>
    </row>
    <row r="662" spans="1:8">
      <c r="A662" s="437" t="s">
        <v>2112</v>
      </c>
      <c r="B662" s="435"/>
      <c r="D662" s="434" t="s">
        <v>3918</v>
      </c>
      <c r="E662" s="435" t="s">
        <v>3919</v>
      </c>
      <c r="G662" s="437" t="s">
        <v>5459</v>
      </c>
      <c r="H662" s="435"/>
    </row>
    <row r="663" spans="1:8">
      <c r="A663" s="437" t="s">
        <v>2113</v>
      </c>
      <c r="B663" s="435"/>
      <c r="D663" s="437" t="s">
        <v>3920</v>
      </c>
      <c r="E663" s="435"/>
      <c r="G663" s="437" t="s">
        <v>5460</v>
      </c>
      <c r="H663" s="435"/>
    </row>
    <row r="664" spans="1:8">
      <c r="A664" s="437" t="s">
        <v>2114</v>
      </c>
      <c r="B664" s="435"/>
      <c r="D664" s="437" t="s">
        <v>3921</v>
      </c>
      <c r="E664" s="435"/>
      <c r="G664" s="434" t="s">
        <v>9956</v>
      </c>
      <c r="H664" s="435" t="s">
        <v>9957</v>
      </c>
    </row>
    <row r="665" spans="1:8">
      <c r="A665" s="437" t="s">
        <v>2115</v>
      </c>
      <c r="B665" s="435"/>
      <c r="D665" s="437" t="s">
        <v>3922</v>
      </c>
      <c r="E665" s="435"/>
      <c r="G665" s="437" t="s">
        <v>9958</v>
      </c>
      <c r="H665" s="435"/>
    </row>
    <row r="666" spans="1:8">
      <c r="A666" s="437" t="s">
        <v>2116</v>
      </c>
      <c r="B666" s="435"/>
      <c r="D666" s="437" t="s">
        <v>3923</v>
      </c>
      <c r="E666" s="435"/>
      <c r="G666" s="434" t="s">
        <v>9959</v>
      </c>
      <c r="H666" s="435" t="s">
        <v>9960</v>
      </c>
    </row>
    <row r="667" spans="1:8">
      <c r="A667" s="437" t="s">
        <v>2116</v>
      </c>
      <c r="B667" s="435"/>
      <c r="D667" s="437" t="s">
        <v>3924</v>
      </c>
      <c r="E667" s="435"/>
      <c r="G667" s="437" t="s">
        <v>9961</v>
      </c>
      <c r="H667" s="435"/>
    </row>
    <row r="668" spans="1:8">
      <c r="A668" s="437" t="s">
        <v>2117</v>
      </c>
      <c r="B668" s="435"/>
      <c r="D668" s="434" t="s">
        <v>601</v>
      </c>
      <c r="E668" s="435" t="s">
        <v>3925</v>
      </c>
      <c r="G668" s="434" t="s">
        <v>9962</v>
      </c>
      <c r="H668" s="435" t="s">
        <v>9963</v>
      </c>
    </row>
    <row r="669" spans="1:8">
      <c r="A669" s="437" t="s">
        <v>2118</v>
      </c>
      <c r="B669" s="435"/>
      <c r="D669" s="434" t="s">
        <v>3926</v>
      </c>
      <c r="E669" s="435" t="s">
        <v>3925</v>
      </c>
      <c r="G669" s="434" t="s">
        <v>9964</v>
      </c>
      <c r="H669" s="435" t="s">
        <v>9965</v>
      </c>
    </row>
    <row r="670" spans="1:8">
      <c r="A670" s="437" t="s">
        <v>2119</v>
      </c>
      <c r="B670" s="435"/>
      <c r="D670" s="437" t="s">
        <v>3927</v>
      </c>
      <c r="E670" s="435"/>
      <c r="G670" s="437" t="s">
        <v>9966</v>
      </c>
      <c r="H670" s="435"/>
    </row>
    <row r="671" spans="1:8">
      <c r="A671" s="437" t="s">
        <v>2120</v>
      </c>
      <c r="B671" s="435"/>
      <c r="D671" s="437" t="s">
        <v>3928</v>
      </c>
      <c r="E671" s="435"/>
      <c r="G671" s="437" t="s">
        <v>9967</v>
      </c>
      <c r="H671" s="435"/>
    </row>
    <row r="672" spans="1:8">
      <c r="A672" s="434" t="s">
        <v>2121</v>
      </c>
      <c r="B672" s="435" t="s">
        <v>2122</v>
      </c>
      <c r="D672" s="437" t="s">
        <v>3929</v>
      </c>
      <c r="E672" s="435"/>
      <c r="G672" s="437" t="s">
        <v>9968</v>
      </c>
      <c r="H672" s="435"/>
    </row>
    <row r="673" spans="1:8">
      <c r="A673" s="437" t="s">
        <v>2123</v>
      </c>
      <c r="B673" s="435"/>
      <c r="D673" s="434" t="s">
        <v>877</v>
      </c>
      <c r="E673" s="435" t="s">
        <v>3930</v>
      </c>
      <c r="G673" s="437" t="s">
        <v>9969</v>
      </c>
      <c r="H673" s="435"/>
    </row>
    <row r="674" spans="1:8">
      <c r="A674" s="434" t="s">
        <v>2124</v>
      </c>
      <c r="B674" s="435" t="s">
        <v>2125</v>
      </c>
      <c r="D674" s="434" t="s">
        <v>3931</v>
      </c>
      <c r="E674" s="435" t="s">
        <v>3930</v>
      </c>
      <c r="G674" s="434" t="s">
        <v>5625</v>
      </c>
      <c r="H674" s="435" t="s">
        <v>5626</v>
      </c>
    </row>
    <row r="675" spans="1:8">
      <c r="A675" s="434" t="s">
        <v>2126</v>
      </c>
      <c r="B675" s="435" t="s">
        <v>2125</v>
      </c>
      <c r="D675" s="437" t="s">
        <v>3932</v>
      </c>
      <c r="E675" s="435"/>
      <c r="G675" s="437" t="s">
        <v>5627</v>
      </c>
      <c r="H675" s="435"/>
    </row>
    <row r="676" spans="1:8">
      <c r="A676" s="437" t="s">
        <v>2127</v>
      </c>
      <c r="B676" s="435"/>
      <c r="D676" s="437" t="s">
        <v>3933</v>
      </c>
      <c r="E676" s="435"/>
      <c r="G676" s="437" t="s">
        <v>5628</v>
      </c>
      <c r="H676" s="435"/>
    </row>
    <row r="677" spans="1:8">
      <c r="A677" s="437" t="s">
        <v>2128</v>
      </c>
      <c r="B677" s="435"/>
      <c r="D677" s="437" t="s">
        <v>3934</v>
      </c>
      <c r="E677" s="435"/>
      <c r="G677" s="434" t="s">
        <v>5629</v>
      </c>
      <c r="H677" s="435" t="s">
        <v>5630</v>
      </c>
    </row>
    <row r="678" spans="1:8">
      <c r="A678" s="437" t="s">
        <v>2129</v>
      </c>
      <c r="B678" s="435"/>
      <c r="D678" s="434" t="s">
        <v>603</v>
      </c>
      <c r="E678" s="435" t="s">
        <v>3935</v>
      </c>
      <c r="G678" s="437" t="s">
        <v>5631</v>
      </c>
      <c r="H678" s="435"/>
    </row>
    <row r="679" spans="1:8">
      <c r="A679" s="437" t="s">
        <v>2130</v>
      </c>
      <c r="B679" s="435"/>
      <c r="D679" s="437" t="s">
        <v>3936</v>
      </c>
      <c r="E679" s="435"/>
      <c r="G679" s="437" t="s">
        <v>5632</v>
      </c>
      <c r="H679" s="435"/>
    </row>
    <row r="680" spans="1:8">
      <c r="A680" s="437" t="s">
        <v>2131</v>
      </c>
      <c r="B680" s="435"/>
      <c r="D680" s="437" t="s">
        <v>3937</v>
      </c>
      <c r="E680" s="435"/>
      <c r="G680" s="434" t="s">
        <v>5761</v>
      </c>
      <c r="H680" s="435" t="s">
        <v>5762</v>
      </c>
    </row>
    <row r="681" spans="1:8">
      <c r="A681" s="437" t="s">
        <v>2132</v>
      </c>
      <c r="B681" s="435"/>
      <c r="D681" s="437" t="s">
        <v>3938</v>
      </c>
      <c r="E681" s="435"/>
      <c r="G681" s="434" t="s">
        <v>5763</v>
      </c>
      <c r="H681" s="435" t="s">
        <v>5762</v>
      </c>
    </row>
    <row r="682" spans="1:8">
      <c r="A682" s="437" t="s">
        <v>2133</v>
      </c>
      <c r="B682" s="435"/>
      <c r="D682" s="434" t="s">
        <v>3939</v>
      </c>
      <c r="E682" s="435" t="s">
        <v>3940</v>
      </c>
      <c r="G682" s="437" t="s">
        <v>5764</v>
      </c>
      <c r="H682" s="435"/>
    </row>
    <row r="683" spans="1:8">
      <c r="A683" s="437" t="s">
        <v>2134</v>
      </c>
      <c r="B683" s="435"/>
      <c r="D683" s="437" t="s">
        <v>3941</v>
      </c>
      <c r="E683" s="435"/>
      <c r="G683" s="437" t="s">
        <v>5765</v>
      </c>
      <c r="H683" s="435"/>
    </row>
    <row r="684" spans="1:8">
      <c r="A684" s="437" t="s">
        <v>2135</v>
      </c>
      <c r="B684" s="435"/>
      <c r="D684" s="437" t="s">
        <v>3942</v>
      </c>
      <c r="E684" s="435"/>
      <c r="G684" s="437" t="s">
        <v>5766</v>
      </c>
      <c r="H684" s="435"/>
    </row>
    <row r="685" spans="1:8">
      <c r="A685" s="437" t="s">
        <v>2136</v>
      </c>
      <c r="B685" s="435"/>
      <c r="D685" s="437" t="s">
        <v>3943</v>
      </c>
      <c r="E685" s="435"/>
      <c r="G685" s="437" t="s">
        <v>5767</v>
      </c>
      <c r="H685" s="435"/>
    </row>
    <row r="686" spans="1:8">
      <c r="A686" s="437" t="s">
        <v>2137</v>
      </c>
      <c r="B686" s="435"/>
      <c r="D686" s="437" t="s">
        <v>3944</v>
      </c>
      <c r="E686" s="435"/>
      <c r="G686" s="434" t="s">
        <v>5781</v>
      </c>
      <c r="H686" s="435" t="s">
        <v>5782</v>
      </c>
    </row>
    <row r="687" spans="1:8">
      <c r="A687" s="437" t="s">
        <v>2138</v>
      </c>
      <c r="B687" s="435"/>
      <c r="D687" s="434" t="s">
        <v>3945</v>
      </c>
      <c r="E687" s="435" t="s">
        <v>3946</v>
      </c>
      <c r="G687" s="434" t="s">
        <v>5783</v>
      </c>
      <c r="H687" s="435" t="s">
        <v>5782</v>
      </c>
    </row>
    <row r="688" spans="1:8">
      <c r="A688" s="437" t="s">
        <v>2139</v>
      </c>
      <c r="B688" s="435"/>
      <c r="D688" s="437" t="s">
        <v>3947</v>
      </c>
      <c r="E688" s="435"/>
      <c r="G688" s="437" t="s">
        <v>5784</v>
      </c>
      <c r="H688" s="435"/>
    </row>
    <row r="689" spans="1:8">
      <c r="A689" s="437" t="s">
        <v>2140</v>
      </c>
      <c r="B689" s="435"/>
      <c r="D689" s="437" t="s">
        <v>3948</v>
      </c>
      <c r="E689" s="435"/>
      <c r="G689" s="437" t="s">
        <v>5785</v>
      </c>
      <c r="H689" s="435"/>
    </row>
    <row r="690" spans="1:8">
      <c r="A690" s="437" t="s">
        <v>2141</v>
      </c>
      <c r="B690" s="435"/>
      <c r="D690" s="434" t="s">
        <v>604</v>
      </c>
      <c r="E690" s="435" t="s">
        <v>3949</v>
      </c>
      <c r="G690" s="437" t="s">
        <v>5786</v>
      </c>
      <c r="H690" s="435"/>
    </row>
    <row r="691" spans="1:8">
      <c r="A691" s="437" t="s">
        <v>2142</v>
      </c>
      <c r="B691" s="435"/>
      <c r="D691" s="437" t="s">
        <v>3950</v>
      </c>
      <c r="E691" s="435"/>
      <c r="G691" s="437" t="s">
        <v>5787</v>
      </c>
      <c r="H691" s="435"/>
    </row>
    <row r="692" spans="1:8">
      <c r="A692" s="434" t="s">
        <v>2143</v>
      </c>
      <c r="B692" s="435" t="s">
        <v>2125</v>
      </c>
      <c r="D692" s="437" t="s">
        <v>3951</v>
      </c>
      <c r="E692" s="435"/>
      <c r="G692" s="437" t="s">
        <v>5788</v>
      </c>
      <c r="H692" s="435"/>
    </row>
    <row r="693" spans="1:8">
      <c r="A693" s="437" t="s">
        <v>2144</v>
      </c>
      <c r="B693" s="435"/>
      <c r="D693" s="437" t="s">
        <v>3952</v>
      </c>
      <c r="E693" s="435"/>
      <c r="G693" s="437" t="s">
        <v>5789</v>
      </c>
      <c r="H693" s="435"/>
    </row>
    <row r="694" spans="1:8">
      <c r="A694" s="437" t="s">
        <v>2145</v>
      </c>
      <c r="B694" s="435"/>
      <c r="D694" s="437" t="s">
        <v>3953</v>
      </c>
      <c r="E694" s="435"/>
      <c r="G694" s="437" t="s">
        <v>5790</v>
      </c>
      <c r="H694" s="435"/>
    </row>
    <row r="695" spans="1:8">
      <c r="A695" s="437" t="s">
        <v>2146</v>
      </c>
      <c r="B695" s="435"/>
      <c r="D695" s="437" t="s">
        <v>3954</v>
      </c>
      <c r="E695" s="435"/>
      <c r="G695" s="437" t="s">
        <v>5791</v>
      </c>
      <c r="H695" s="435"/>
    </row>
    <row r="696" spans="1:8">
      <c r="A696" s="437" t="s">
        <v>2147</v>
      </c>
      <c r="B696" s="435"/>
      <c r="D696" s="437" t="s">
        <v>3955</v>
      </c>
      <c r="E696" s="435"/>
      <c r="G696" s="434" t="s">
        <v>5792</v>
      </c>
      <c r="H696" s="435" t="s">
        <v>5782</v>
      </c>
    </row>
    <row r="697" spans="1:8">
      <c r="A697" s="437" t="s">
        <v>2148</v>
      </c>
      <c r="B697" s="435"/>
      <c r="D697" s="434" t="s">
        <v>3956</v>
      </c>
      <c r="E697" s="435" t="s">
        <v>3957</v>
      </c>
      <c r="G697" s="437" t="s">
        <v>5793</v>
      </c>
      <c r="H697" s="435"/>
    </row>
    <row r="698" spans="1:8">
      <c r="A698" s="437" t="s">
        <v>2149</v>
      </c>
      <c r="B698" s="435"/>
      <c r="D698" s="437" t="s">
        <v>3958</v>
      </c>
      <c r="E698" s="435"/>
      <c r="G698" s="437" t="s">
        <v>5794</v>
      </c>
      <c r="H698" s="435"/>
    </row>
    <row r="699" spans="1:8">
      <c r="A699" s="437" t="s">
        <v>2150</v>
      </c>
      <c r="B699" s="435"/>
      <c r="D699" s="437" t="s">
        <v>3959</v>
      </c>
      <c r="E699" s="435"/>
      <c r="G699" s="434" t="s">
        <v>9970</v>
      </c>
      <c r="H699" s="435" t="s">
        <v>9971</v>
      </c>
    </row>
    <row r="700" spans="1:8">
      <c r="A700" s="437" t="s">
        <v>2151</v>
      </c>
      <c r="B700" s="435"/>
      <c r="D700" s="437" t="s">
        <v>3960</v>
      </c>
      <c r="E700" s="435"/>
      <c r="G700" s="434" t="s">
        <v>9972</v>
      </c>
      <c r="H700" s="435" t="s">
        <v>9971</v>
      </c>
    </row>
    <row r="701" spans="1:8">
      <c r="A701" s="437" t="s">
        <v>2152</v>
      </c>
      <c r="B701" s="435"/>
      <c r="D701" s="437" t="s">
        <v>3961</v>
      </c>
      <c r="E701" s="435"/>
      <c r="G701" s="437" t="s">
        <v>9973</v>
      </c>
      <c r="H701" s="435"/>
    </row>
    <row r="702" spans="1:8">
      <c r="A702" s="437" t="s">
        <v>2153</v>
      </c>
      <c r="B702" s="435"/>
      <c r="D702" s="434" t="s">
        <v>3962</v>
      </c>
      <c r="E702" s="435" t="s">
        <v>3963</v>
      </c>
      <c r="G702" s="434" t="s">
        <v>5850</v>
      </c>
      <c r="H702" s="435"/>
    </row>
    <row r="703" spans="1:8">
      <c r="A703" s="437" t="s">
        <v>2154</v>
      </c>
      <c r="B703" s="435"/>
      <c r="D703" s="437" t="s">
        <v>3964</v>
      </c>
      <c r="E703" s="435"/>
      <c r="G703" s="437" t="s">
        <v>5851</v>
      </c>
      <c r="H703" s="435"/>
    </row>
    <row r="704" spans="1:8">
      <c r="A704" s="437" t="s">
        <v>2155</v>
      </c>
      <c r="B704" s="435"/>
      <c r="D704" s="434" t="s">
        <v>605</v>
      </c>
      <c r="E704" s="435" t="s">
        <v>3965</v>
      </c>
      <c r="G704" s="434" t="s">
        <v>5852</v>
      </c>
      <c r="H704" s="435" t="s">
        <v>5853</v>
      </c>
    </row>
    <row r="705" spans="1:8">
      <c r="A705" s="434" t="s">
        <v>2156</v>
      </c>
      <c r="B705" s="435" t="s">
        <v>2157</v>
      </c>
      <c r="D705" s="437" t="s">
        <v>3966</v>
      </c>
      <c r="E705" s="435"/>
      <c r="G705" s="437" t="s">
        <v>5854</v>
      </c>
      <c r="H705" s="435"/>
    </row>
    <row r="706" spans="1:8">
      <c r="A706" s="437" t="s">
        <v>2158</v>
      </c>
      <c r="B706" s="435"/>
      <c r="D706" s="437" t="s">
        <v>3967</v>
      </c>
      <c r="E706" s="435"/>
      <c r="G706" s="437" t="s">
        <v>5855</v>
      </c>
      <c r="H706" s="435"/>
    </row>
    <row r="707" spans="1:8">
      <c r="A707" s="437" t="s">
        <v>2159</v>
      </c>
      <c r="B707" s="435"/>
      <c r="D707" s="437" t="s">
        <v>3968</v>
      </c>
      <c r="E707" s="435"/>
      <c r="G707" s="437" t="s">
        <v>5856</v>
      </c>
      <c r="H707" s="435"/>
    </row>
    <row r="708" spans="1:8">
      <c r="A708" s="437" t="s">
        <v>2160</v>
      </c>
      <c r="B708" s="435"/>
      <c r="D708" s="437" t="s">
        <v>3969</v>
      </c>
      <c r="E708" s="435"/>
      <c r="G708" s="437" t="s">
        <v>5857</v>
      </c>
      <c r="H708" s="435"/>
    </row>
    <row r="709" spans="1:8">
      <c r="A709" s="434" t="s">
        <v>2161</v>
      </c>
      <c r="B709" s="435" t="s">
        <v>2162</v>
      </c>
      <c r="D709" s="437" t="s">
        <v>3970</v>
      </c>
      <c r="E709" s="435"/>
      <c r="G709" s="437" t="s">
        <v>5858</v>
      </c>
      <c r="H709" s="435"/>
    </row>
    <row r="710" spans="1:8">
      <c r="A710" s="434" t="s">
        <v>2163</v>
      </c>
      <c r="B710" s="435" t="s">
        <v>2162</v>
      </c>
      <c r="D710" s="437" t="s">
        <v>3971</v>
      </c>
      <c r="E710" s="435"/>
      <c r="G710" s="437" t="s">
        <v>5859</v>
      </c>
      <c r="H710" s="435"/>
    </row>
    <row r="711" spans="1:8">
      <c r="A711" s="437" t="s">
        <v>2164</v>
      </c>
      <c r="B711" s="435"/>
      <c r="D711" s="437" t="s">
        <v>3972</v>
      </c>
      <c r="E711" s="435"/>
      <c r="G711" s="434" t="s">
        <v>5860</v>
      </c>
      <c r="H711" s="435" t="s">
        <v>5861</v>
      </c>
    </row>
    <row r="712" spans="1:8">
      <c r="A712" s="437" t="s">
        <v>2165</v>
      </c>
      <c r="B712" s="435"/>
      <c r="D712" s="437" t="s">
        <v>3973</v>
      </c>
      <c r="E712" s="435"/>
      <c r="G712" s="437" t="s">
        <v>5862</v>
      </c>
      <c r="H712" s="435"/>
    </row>
    <row r="713" spans="1:8">
      <c r="A713" s="437" t="s">
        <v>2166</v>
      </c>
      <c r="B713" s="435"/>
      <c r="D713" s="434" t="s">
        <v>606</v>
      </c>
      <c r="E713" s="435" t="s">
        <v>3974</v>
      </c>
      <c r="G713" s="437" t="s">
        <v>5863</v>
      </c>
      <c r="H713" s="435"/>
    </row>
    <row r="714" spans="1:8">
      <c r="A714" s="434" t="s">
        <v>2167</v>
      </c>
      <c r="B714" s="435" t="s">
        <v>2162</v>
      </c>
      <c r="D714" s="437" t="s">
        <v>3975</v>
      </c>
      <c r="E714" s="435"/>
      <c r="G714" s="437" t="s">
        <v>5864</v>
      </c>
      <c r="H714" s="435"/>
    </row>
    <row r="715" spans="1:8">
      <c r="A715" s="437" t="s">
        <v>2168</v>
      </c>
      <c r="B715" s="435"/>
      <c r="D715" s="437" t="s">
        <v>3976</v>
      </c>
      <c r="E715" s="435"/>
      <c r="G715" s="437" t="s">
        <v>5865</v>
      </c>
      <c r="H715" s="435"/>
    </row>
    <row r="716" spans="1:8">
      <c r="A716" s="437" t="s">
        <v>2169</v>
      </c>
      <c r="B716" s="435"/>
      <c r="D716" s="437" t="s">
        <v>3977</v>
      </c>
      <c r="E716" s="435"/>
      <c r="G716" s="437" t="s">
        <v>5866</v>
      </c>
      <c r="H716" s="435"/>
    </row>
    <row r="717" spans="1:8">
      <c r="A717" s="437" t="s">
        <v>2170</v>
      </c>
      <c r="B717" s="435"/>
      <c r="D717" s="437" t="s">
        <v>3978</v>
      </c>
      <c r="E717" s="435"/>
      <c r="G717" s="437" t="s">
        <v>5867</v>
      </c>
      <c r="H717" s="435"/>
    </row>
    <row r="718" spans="1:8">
      <c r="A718" s="437" t="s">
        <v>2171</v>
      </c>
      <c r="B718" s="435"/>
      <c r="D718" s="437" t="s">
        <v>3979</v>
      </c>
      <c r="E718" s="435"/>
      <c r="G718" s="437" t="s">
        <v>5868</v>
      </c>
      <c r="H718" s="435"/>
    </row>
    <row r="719" spans="1:8">
      <c r="A719" s="437" t="s">
        <v>2172</v>
      </c>
      <c r="B719" s="435"/>
      <c r="D719" s="437" t="s">
        <v>3980</v>
      </c>
      <c r="E719" s="435"/>
      <c r="G719" s="437" t="s">
        <v>5869</v>
      </c>
      <c r="H719" s="435"/>
    </row>
    <row r="720" spans="1:8">
      <c r="A720" s="437" t="s">
        <v>2173</v>
      </c>
      <c r="B720" s="435"/>
      <c r="D720" s="437" t="s">
        <v>3981</v>
      </c>
      <c r="E720" s="435"/>
      <c r="G720" s="437" t="s">
        <v>5870</v>
      </c>
      <c r="H720" s="435"/>
    </row>
    <row r="721" spans="1:8">
      <c r="A721" s="437" t="s">
        <v>2174</v>
      </c>
      <c r="B721" s="435"/>
      <c r="D721" s="437" t="s">
        <v>3982</v>
      </c>
      <c r="E721" s="435"/>
      <c r="G721" s="434" t="s">
        <v>9974</v>
      </c>
      <c r="H721" s="435" t="s">
        <v>9975</v>
      </c>
    </row>
    <row r="722" spans="1:8">
      <c r="A722" s="437" t="s">
        <v>2175</v>
      </c>
      <c r="B722" s="435"/>
      <c r="D722" s="434" t="s">
        <v>3983</v>
      </c>
      <c r="E722" s="435" t="s">
        <v>3984</v>
      </c>
      <c r="G722" s="437" t="s">
        <v>9976</v>
      </c>
      <c r="H722" s="435"/>
    </row>
    <row r="723" spans="1:8">
      <c r="A723" s="437" t="s">
        <v>2176</v>
      </c>
      <c r="B723" s="435"/>
      <c r="D723" s="437" t="s">
        <v>3985</v>
      </c>
      <c r="E723" s="435"/>
      <c r="G723" s="434" t="s">
        <v>5913</v>
      </c>
      <c r="H723" s="435" t="s">
        <v>5914</v>
      </c>
    </row>
    <row r="724" spans="1:8">
      <c r="A724" s="437" t="s">
        <v>2177</v>
      </c>
      <c r="B724" s="435"/>
      <c r="D724" s="437" t="s">
        <v>3986</v>
      </c>
      <c r="E724" s="435"/>
      <c r="G724" s="437" t="s">
        <v>5915</v>
      </c>
      <c r="H724" s="435"/>
    </row>
    <row r="725" spans="1:8">
      <c r="A725" s="437" t="s">
        <v>2178</v>
      </c>
      <c r="B725" s="435"/>
      <c r="D725" s="437" t="s">
        <v>3987</v>
      </c>
      <c r="E725" s="435"/>
      <c r="G725" s="437" t="s">
        <v>5916</v>
      </c>
      <c r="H725" s="435"/>
    </row>
    <row r="726" spans="1:8">
      <c r="A726" s="437" t="s">
        <v>2179</v>
      </c>
      <c r="B726" s="435"/>
      <c r="D726" s="437" t="s">
        <v>3988</v>
      </c>
      <c r="E726" s="435"/>
      <c r="G726" s="434" t="s">
        <v>9977</v>
      </c>
      <c r="H726" s="435" t="s">
        <v>9978</v>
      </c>
    </row>
    <row r="727" spans="1:8">
      <c r="A727" s="434" t="s">
        <v>2180</v>
      </c>
      <c r="B727" s="435" t="s">
        <v>2181</v>
      </c>
      <c r="D727" s="434" t="s">
        <v>3989</v>
      </c>
      <c r="E727" s="435" t="s">
        <v>3990</v>
      </c>
      <c r="G727" s="437" t="s">
        <v>9979</v>
      </c>
      <c r="H727" s="435"/>
    </row>
    <row r="728" spans="1:8">
      <c r="A728" s="437" t="s">
        <v>2182</v>
      </c>
      <c r="B728" s="435"/>
      <c r="D728" s="434" t="s">
        <v>607</v>
      </c>
      <c r="E728" s="435" t="s">
        <v>3991</v>
      </c>
      <c r="G728" s="437" t="s">
        <v>9980</v>
      </c>
      <c r="H728" s="435"/>
    </row>
    <row r="729" spans="1:8">
      <c r="A729" s="437" t="s">
        <v>2183</v>
      </c>
      <c r="B729" s="435"/>
      <c r="D729" s="437" t="s">
        <v>3992</v>
      </c>
      <c r="E729" s="435"/>
      <c r="G729" s="437" t="s">
        <v>9981</v>
      </c>
      <c r="H729" s="435"/>
    </row>
    <row r="730" spans="1:8">
      <c r="A730" s="437" t="s">
        <v>2184</v>
      </c>
      <c r="B730" s="435"/>
      <c r="D730" s="437" t="s">
        <v>3993</v>
      </c>
      <c r="E730" s="435"/>
      <c r="G730" s="437" t="s">
        <v>9982</v>
      </c>
      <c r="H730" s="435"/>
    </row>
    <row r="731" spans="1:8">
      <c r="A731" s="434" t="s">
        <v>2185</v>
      </c>
      <c r="B731" s="435" t="s">
        <v>2186</v>
      </c>
      <c r="D731" s="437" t="s">
        <v>3994</v>
      </c>
      <c r="E731" s="435"/>
      <c r="G731" s="437" t="s">
        <v>9983</v>
      </c>
      <c r="H731" s="435"/>
    </row>
    <row r="732" spans="1:8">
      <c r="A732" s="437" t="s">
        <v>2187</v>
      </c>
      <c r="B732" s="435"/>
      <c r="D732" s="437" t="s">
        <v>3995</v>
      </c>
      <c r="E732" s="435"/>
      <c r="G732" s="437" t="s">
        <v>9984</v>
      </c>
      <c r="H732" s="435"/>
    </row>
    <row r="733" spans="1:8">
      <c r="A733" s="434" t="s">
        <v>2188</v>
      </c>
      <c r="B733" s="435" t="s">
        <v>2189</v>
      </c>
      <c r="D733" s="434" t="s">
        <v>3996</v>
      </c>
      <c r="E733" s="435" t="s">
        <v>3997</v>
      </c>
      <c r="G733" s="434" t="s">
        <v>9985</v>
      </c>
      <c r="H733" s="435" t="s">
        <v>9986</v>
      </c>
    </row>
    <row r="734" spans="1:8">
      <c r="A734" s="437" t="s">
        <v>2190</v>
      </c>
      <c r="B734" s="435"/>
      <c r="D734" s="437" t="s">
        <v>3998</v>
      </c>
      <c r="E734" s="435"/>
      <c r="G734" s="437" t="s">
        <v>9987</v>
      </c>
      <c r="H734" s="435"/>
    </row>
    <row r="735" spans="1:8">
      <c r="A735" s="437" t="s">
        <v>2191</v>
      </c>
      <c r="B735" s="435"/>
      <c r="D735" s="437" t="s">
        <v>3999</v>
      </c>
      <c r="E735" s="435"/>
      <c r="G735" s="434" t="s">
        <v>9988</v>
      </c>
      <c r="H735" s="435" t="s">
        <v>9989</v>
      </c>
    </row>
    <row r="736" spans="1:8">
      <c r="A736" s="434" t="s">
        <v>2192</v>
      </c>
      <c r="B736" s="435" t="s">
        <v>2193</v>
      </c>
      <c r="D736" s="434" t="s">
        <v>4000</v>
      </c>
      <c r="E736" s="435" t="s">
        <v>4001</v>
      </c>
      <c r="G736" s="437" t="s">
        <v>9990</v>
      </c>
      <c r="H736" s="435"/>
    </row>
    <row r="737" spans="1:8">
      <c r="A737" s="437" t="s">
        <v>2194</v>
      </c>
      <c r="B737" s="435"/>
      <c r="D737" s="437" t="s">
        <v>4002</v>
      </c>
      <c r="E737" s="435"/>
      <c r="G737" s="434" t="s">
        <v>9991</v>
      </c>
      <c r="H737" s="435" t="s">
        <v>9992</v>
      </c>
    </row>
    <row r="738" spans="1:8">
      <c r="A738" s="437" t="s">
        <v>2195</v>
      </c>
      <c r="B738" s="435"/>
      <c r="D738" s="437" t="s">
        <v>4003</v>
      </c>
      <c r="E738" s="435"/>
      <c r="G738" s="434" t="s">
        <v>9993</v>
      </c>
      <c r="H738" s="435" t="s">
        <v>9992</v>
      </c>
    </row>
    <row r="739" spans="1:8">
      <c r="A739" s="437" t="s">
        <v>2196</v>
      </c>
      <c r="B739" s="435"/>
      <c r="D739" s="437" t="s">
        <v>4004</v>
      </c>
      <c r="E739" s="435"/>
      <c r="G739" s="437" t="s">
        <v>9994</v>
      </c>
      <c r="H739" s="435"/>
    </row>
    <row r="740" spans="1:8">
      <c r="A740" s="437" t="s">
        <v>2197</v>
      </c>
      <c r="B740" s="435"/>
      <c r="D740" s="437" t="s">
        <v>4005</v>
      </c>
      <c r="E740" s="435"/>
      <c r="G740" s="437" t="s">
        <v>9995</v>
      </c>
      <c r="H740" s="435"/>
    </row>
    <row r="741" spans="1:8">
      <c r="A741" s="437" t="s">
        <v>2198</v>
      </c>
      <c r="B741" s="435"/>
      <c r="D741" s="434" t="s">
        <v>4006</v>
      </c>
      <c r="E741" s="435" t="s">
        <v>4007</v>
      </c>
      <c r="G741" s="437" t="s">
        <v>9996</v>
      </c>
      <c r="H741" s="435"/>
    </row>
    <row r="742" spans="1:8">
      <c r="A742" s="437" t="s">
        <v>2199</v>
      </c>
      <c r="B742" s="435"/>
      <c r="D742" s="434" t="s">
        <v>608</v>
      </c>
      <c r="E742" s="435" t="s">
        <v>4008</v>
      </c>
      <c r="G742" s="434" t="s">
        <v>9997</v>
      </c>
      <c r="H742" s="435" t="s">
        <v>9998</v>
      </c>
    </row>
    <row r="743" spans="1:8">
      <c r="A743" s="437" t="s">
        <v>2200</v>
      </c>
      <c r="B743" s="435"/>
      <c r="D743" s="434" t="s">
        <v>4009</v>
      </c>
      <c r="E743" s="435" t="s">
        <v>4008</v>
      </c>
      <c r="G743" s="437" t="s">
        <v>9999</v>
      </c>
      <c r="H743" s="435"/>
    </row>
    <row r="744" spans="1:8">
      <c r="A744" s="434" t="s">
        <v>2201</v>
      </c>
      <c r="B744" s="435" t="s">
        <v>2202</v>
      </c>
      <c r="D744" s="434" t="s">
        <v>4010</v>
      </c>
      <c r="E744" s="435" t="s">
        <v>4011</v>
      </c>
      <c r="G744" s="437" t="s">
        <v>10000</v>
      </c>
      <c r="H744" s="435"/>
    </row>
    <row r="745" spans="1:8">
      <c r="A745" s="437" t="s">
        <v>2203</v>
      </c>
      <c r="B745" s="435"/>
      <c r="D745" s="437" t="s">
        <v>4012</v>
      </c>
      <c r="E745" s="435"/>
      <c r="G745" s="437" t="s">
        <v>10001</v>
      </c>
      <c r="H745" s="435"/>
    </row>
    <row r="746" spans="1:8">
      <c r="A746" s="437" t="s">
        <v>2204</v>
      </c>
      <c r="B746" s="435"/>
      <c r="D746" s="437" t="s">
        <v>4013</v>
      </c>
      <c r="E746" s="435"/>
      <c r="G746" s="437" t="s">
        <v>10002</v>
      </c>
      <c r="H746" s="435"/>
    </row>
    <row r="747" spans="1:8">
      <c r="A747" s="434" t="s">
        <v>2205</v>
      </c>
      <c r="B747" s="435" t="s">
        <v>2206</v>
      </c>
      <c r="D747" s="437" t="s">
        <v>4014</v>
      </c>
      <c r="E747" s="435"/>
      <c r="G747" s="437" t="s">
        <v>10003</v>
      </c>
      <c r="H747" s="435"/>
    </row>
    <row r="748" spans="1:8">
      <c r="A748" s="437" t="s">
        <v>2207</v>
      </c>
      <c r="B748" s="435"/>
      <c r="D748" s="437" t="s">
        <v>4015</v>
      </c>
      <c r="E748" s="435"/>
      <c r="G748" s="437" t="s">
        <v>10004</v>
      </c>
      <c r="H748" s="435"/>
    </row>
    <row r="749" spans="1:8">
      <c r="A749" s="437" t="s">
        <v>2208</v>
      </c>
      <c r="B749" s="435"/>
      <c r="D749" s="437" t="s">
        <v>4016</v>
      </c>
      <c r="E749" s="435"/>
      <c r="G749" s="437" t="s">
        <v>10005</v>
      </c>
      <c r="H749" s="435"/>
    </row>
    <row r="750" spans="1:8">
      <c r="A750" s="437" t="s">
        <v>2209</v>
      </c>
      <c r="B750" s="435"/>
      <c r="D750" s="437" t="s">
        <v>4017</v>
      </c>
      <c r="E750" s="435"/>
      <c r="G750" s="437" t="s">
        <v>10006</v>
      </c>
      <c r="H750" s="435"/>
    </row>
    <row r="751" spans="1:8">
      <c r="A751" s="437" t="s">
        <v>2210</v>
      </c>
      <c r="B751" s="435"/>
      <c r="D751" s="437" t="s">
        <v>4018</v>
      </c>
      <c r="E751" s="435"/>
      <c r="G751" s="437" t="s">
        <v>10007</v>
      </c>
      <c r="H751" s="435"/>
    </row>
    <row r="752" spans="1:8">
      <c r="A752" s="434" t="s">
        <v>2211</v>
      </c>
      <c r="B752" s="435" t="s">
        <v>2212</v>
      </c>
      <c r="D752" s="434" t="s">
        <v>609</v>
      </c>
      <c r="E752" s="435" t="s">
        <v>4019</v>
      </c>
      <c r="G752" s="437" t="s">
        <v>10008</v>
      </c>
      <c r="H752" s="435"/>
    </row>
    <row r="753" spans="1:8">
      <c r="A753" s="437" t="s">
        <v>2213</v>
      </c>
      <c r="B753" s="435"/>
      <c r="D753" s="434" t="s">
        <v>4020</v>
      </c>
      <c r="E753" s="435" t="s">
        <v>4019</v>
      </c>
      <c r="G753" s="434" t="s">
        <v>10009</v>
      </c>
      <c r="H753" s="435" t="s">
        <v>10010</v>
      </c>
    </row>
    <row r="754" spans="1:8">
      <c r="A754" s="437" t="s">
        <v>2214</v>
      </c>
      <c r="B754" s="435"/>
      <c r="D754" s="437" t="s">
        <v>4021</v>
      </c>
      <c r="E754" s="435"/>
      <c r="G754" s="434" t="s">
        <v>10011</v>
      </c>
      <c r="H754" s="435" t="s">
        <v>10010</v>
      </c>
    </row>
    <row r="755" spans="1:8">
      <c r="A755" s="434" t="s">
        <v>2215</v>
      </c>
      <c r="B755" s="435" t="s">
        <v>2216</v>
      </c>
      <c r="D755" s="434" t="s">
        <v>4022</v>
      </c>
      <c r="E755" s="435" t="s">
        <v>4019</v>
      </c>
      <c r="G755" s="437" t="s">
        <v>10012</v>
      </c>
      <c r="H755" s="435"/>
    </row>
    <row r="756" spans="1:8">
      <c r="A756" s="437" t="s">
        <v>2217</v>
      </c>
      <c r="B756" s="435"/>
      <c r="D756" s="437" t="s">
        <v>4023</v>
      </c>
      <c r="E756" s="435"/>
      <c r="G756" s="437" t="s">
        <v>10013</v>
      </c>
      <c r="H756" s="435"/>
    </row>
    <row r="757" spans="1:8">
      <c r="A757" s="437" t="s">
        <v>2218</v>
      </c>
      <c r="B757" s="435"/>
      <c r="D757" s="437" t="s">
        <v>4024</v>
      </c>
      <c r="E757" s="435"/>
      <c r="G757" s="437" t="s">
        <v>10014</v>
      </c>
      <c r="H757" s="435"/>
    </row>
    <row r="758" spans="1:8">
      <c r="A758" s="437" t="s">
        <v>2219</v>
      </c>
      <c r="B758" s="435"/>
      <c r="D758" s="437" t="s">
        <v>4025</v>
      </c>
      <c r="E758" s="435"/>
      <c r="G758" s="434" t="s">
        <v>10015</v>
      </c>
      <c r="H758" s="435" t="s">
        <v>10016</v>
      </c>
    </row>
    <row r="759" spans="1:8">
      <c r="A759" s="437" t="s">
        <v>2220</v>
      </c>
      <c r="B759" s="435"/>
      <c r="D759" s="437" t="s">
        <v>4026</v>
      </c>
      <c r="E759" s="435"/>
      <c r="G759" s="434" t="s">
        <v>10017</v>
      </c>
      <c r="H759" s="435" t="s">
        <v>10016</v>
      </c>
    </row>
    <row r="760" spans="1:8">
      <c r="A760" s="437" t="s">
        <v>2221</v>
      </c>
      <c r="B760" s="435"/>
      <c r="D760" s="434" t="s">
        <v>4027</v>
      </c>
      <c r="E760" s="435" t="s">
        <v>4028</v>
      </c>
      <c r="G760" s="437" t="s">
        <v>10018</v>
      </c>
      <c r="H760" s="435"/>
    </row>
    <row r="761" spans="1:8">
      <c r="A761" s="437" t="s">
        <v>2222</v>
      </c>
      <c r="B761" s="435"/>
      <c r="D761" s="437" t="s">
        <v>4029</v>
      </c>
      <c r="E761" s="435"/>
      <c r="G761" s="434" t="s">
        <v>6194</v>
      </c>
      <c r="H761" s="435" t="s">
        <v>6195</v>
      </c>
    </row>
    <row r="762" spans="1:8">
      <c r="A762" s="437" t="s">
        <v>2223</v>
      </c>
      <c r="B762" s="435"/>
      <c r="D762" s="437" t="s">
        <v>4030</v>
      </c>
      <c r="E762" s="435"/>
      <c r="G762" s="434" t="s">
        <v>6196</v>
      </c>
      <c r="H762" s="435" t="s">
        <v>6195</v>
      </c>
    </row>
    <row r="763" spans="1:8">
      <c r="A763" s="437" t="s">
        <v>2224</v>
      </c>
      <c r="B763" s="435"/>
      <c r="D763" s="434" t="s">
        <v>4031</v>
      </c>
      <c r="E763" s="435" t="s">
        <v>4032</v>
      </c>
      <c r="G763" s="437" t="s">
        <v>6197</v>
      </c>
      <c r="H763" s="435"/>
    </row>
    <row r="764" spans="1:8">
      <c r="A764" s="437" t="s">
        <v>2225</v>
      </c>
      <c r="B764" s="435"/>
      <c r="D764" s="434" t="s">
        <v>4033</v>
      </c>
      <c r="E764" s="435" t="s">
        <v>4034</v>
      </c>
      <c r="G764" s="437" t="s">
        <v>6198</v>
      </c>
      <c r="H764" s="435"/>
    </row>
    <row r="765" spans="1:8">
      <c r="A765" s="434" t="s">
        <v>2226</v>
      </c>
      <c r="B765" s="435" t="s">
        <v>2227</v>
      </c>
      <c r="D765" s="437" t="s">
        <v>4035</v>
      </c>
      <c r="E765" s="435"/>
      <c r="G765" s="434" t="s">
        <v>6205</v>
      </c>
      <c r="H765" s="435" t="s">
        <v>6206</v>
      </c>
    </row>
    <row r="766" spans="1:8">
      <c r="A766" s="434" t="s">
        <v>2228</v>
      </c>
      <c r="B766" s="435" t="s">
        <v>2229</v>
      </c>
      <c r="D766" s="437" t="s">
        <v>4036</v>
      </c>
      <c r="E766" s="435"/>
      <c r="G766" s="437" t="s">
        <v>6207</v>
      </c>
      <c r="H766" s="435"/>
    </row>
    <row r="767" spans="1:8">
      <c r="A767" s="434" t="s">
        <v>2230</v>
      </c>
      <c r="B767" s="435" t="s">
        <v>2231</v>
      </c>
      <c r="D767" s="437" t="s">
        <v>4037</v>
      </c>
      <c r="E767" s="435"/>
      <c r="G767" s="434" t="s">
        <v>10019</v>
      </c>
      <c r="H767" s="435" t="s">
        <v>10020</v>
      </c>
    </row>
    <row r="768" spans="1:8">
      <c r="A768" s="434" t="s">
        <v>2232</v>
      </c>
      <c r="B768" s="435" t="s">
        <v>2231</v>
      </c>
      <c r="D768" s="437" t="s">
        <v>4038</v>
      </c>
      <c r="E768" s="435"/>
      <c r="G768" s="434" t="s">
        <v>10021</v>
      </c>
      <c r="H768" s="435" t="s">
        <v>10022</v>
      </c>
    </row>
    <row r="769" spans="1:8">
      <c r="A769" s="437" t="s">
        <v>2233</v>
      </c>
      <c r="B769" s="435"/>
      <c r="D769" s="434" t="s">
        <v>4039</v>
      </c>
      <c r="E769" s="435" t="s">
        <v>4040</v>
      </c>
      <c r="G769" s="437" t="s">
        <v>10023</v>
      </c>
      <c r="H769" s="435"/>
    </row>
    <row r="770" spans="1:8">
      <c r="A770" s="437" t="s">
        <v>2234</v>
      </c>
      <c r="B770" s="435"/>
      <c r="D770" s="434" t="s">
        <v>4041</v>
      </c>
      <c r="E770" s="435" t="s">
        <v>4042</v>
      </c>
      <c r="G770" s="434" t="s">
        <v>10024</v>
      </c>
      <c r="H770" s="435" t="s">
        <v>10025</v>
      </c>
    </row>
    <row r="771" spans="1:8">
      <c r="A771" s="437" t="s">
        <v>2235</v>
      </c>
      <c r="B771" s="435"/>
      <c r="D771" s="437" t="s">
        <v>4043</v>
      </c>
      <c r="E771" s="435"/>
      <c r="G771" s="437" t="s">
        <v>10026</v>
      </c>
      <c r="H771" s="435"/>
    </row>
    <row r="772" spans="1:8">
      <c r="A772" s="437" t="s">
        <v>2236</v>
      </c>
      <c r="B772" s="435"/>
      <c r="D772" s="437" t="s">
        <v>4044</v>
      </c>
      <c r="E772" s="435"/>
      <c r="G772" s="437" t="s">
        <v>10027</v>
      </c>
      <c r="H772" s="435"/>
    </row>
    <row r="773" spans="1:8">
      <c r="A773" s="437" t="s">
        <v>2237</v>
      </c>
      <c r="B773" s="435"/>
      <c r="D773" s="437" t="s">
        <v>4045</v>
      </c>
      <c r="E773" s="435"/>
      <c r="G773" s="437" t="s">
        <v>10028</v>
      </c>
      <c r="H773" s="435"/>
    </row>
    <row r="774" spans="1:8">
      <c r="A774" s="437" t="s">
        <v>2238</v>
      </c>
      <c r="B774" s="435"/>
      <c r="D774" s="437" t="s">
        <v>4046</v>
      </c>
      <c r="E774" s="435"/>
      <c r="G774" s="434" t="s">
        <v>6318</v>
      </c>
      <c r="H774" s="435" t="s">
        <v>6319</v>
      </c>
    </row>
    <row r="775" spans="1:8">
      <c r="A775" s="437" t="s">
        <v>2239</v>
      </c>
      <c r="B775" s="435"/>
      <c r="D775" s="437" t="s">
        <v>4047</v>
      </c>
      <c r="E775" s="435"/>
      <c r="G775" s="437" t="s">
        <v>6320</v>
      </c>
      <c r="H775" s="435"/>
    </row>
    <row r="776" spans="1:8">
      <c r="A776" s="437" t="s">
        <v>2240</v>
      </c>
      <c r="B776" s="435"/>
      <c r="D776" s="437" t="s">
        <v>4048</v>
      </c>
      <c r="E776" s="435"/>
      <c r="G776" s="437" t="s">
        <v>6321</v>
      </c>
      <c r="H776" s="435"/>
    </row>
    <row r="777" spans="1:8">
      <c r="A777" s="437" t="s">
        <v>2241</v>
      </c>
      <c r="B777" s="435"/>
      <c r="D777" s="437" t="s">
        <v>4049</v>
      </c>
      <c r="E777" s="435"/>
      <c r="G777" s="434" t="s">
        <v>6322</v>
      </c>
      <c r="H777" s="435" t="s">
        <v>6323</v>
      </c>
    </row>
    <row r="778" spans="1:8">
      <c r="A778" s="434" t="s">
        <v>2242</v>
      </c>
      <c r="B778" s="435" t="s">
        <v>2231</v>
      </c>
      <c r="D778" s="437" t="s">
        <v>4050</v>
      </c>
      <c r="E778" s="435"/>
      <c r="G778" s="437" t="s">
        <v>6324</v>
      </c>
      <c r="H778" s="435"/>
    </row>
    <row r="779" spans="1:8">
      <c r="A779" s="437" t="s">
        <v>2243</v>
      </c>
      <c r="B779" s="435"/>
      <c r="D779" s="437" t="s">
        <v>4051</v>
      </c>
      <c r="E779" s="435"/>
      <c r="G779" s="437" t="s">
        <v>6325</v>
      </c>
      <c r="H779" s="435"/>
    </row>
    <row r="780" spans="1:8">
      <c r="A780" s="437" t="s">
        <v>2244</v>
      </c>
      <c r="B780" s="435"/>
      <c r="D780" s="437" t="s">
        <v>4052</v>
      </c>
      <c r="E780" s="435"/>
      <c r="G780" s="437" t="s">
        <v>6326</v>
      </c>
      <c r="H780" s="435"/>
    </row>
    <row r="781" spans="1:8">
      <c r="A781" s="437" t="s">
        <v>2245</v>
      </c>
      <c r="B781" s="435"/>
      <c r="D781" s="437" t="s">
        <v>4053</v>
      </c>
      <c r="E781" s="435"/>
      <c r="G781" s="434" t="s">
        <v>6327</v>
      </c>
      <c r="H781" s="435" t="s">
        <v>6328</v>
      </c>
    </row>
    <row r="782" spans="1:8">
      <c r="A782" s="437" t="s">
        <v>2246</v>
      </c>
      <c r="B782" s="435"/>
      <c r="D782" s="437" t="s">
        <v>4054</v>
      </c>
      <c r="E782" s="435"/>
      <c r="G782" s="437" t="s">
        <v>6329</v>
      </c>
      <c r="H782" s="435"/>
    </row>
    <row r="783" spans="1:8">
      <c r="A783" s="434" t="s">
        <v>2247</v>
      </c>
      <c r="B783" s="435" t="s">
        <v>2248</v>
      </c>
      <c r="D783" s="434" t="s">
        <v>4055</v>
      </c>
      <c r="E783" s="435" t="s">
        <v>4056</v>
      </c>
      <c r="G783" s="437" t="s">
        <v>6330</v>
      </c>
      <c r="H783" s="435"/>
    </row>
    <row r="784" spans="1:8">
      <c r="A784" s="437" t="s">
        <v>2249</v>
      </c>
      <c r="B784" s="435"/>
      <c r="D784" s="437" t="s">
        <v>4057</v>
      </c>
      <c r="E784" s="435"/>
      <c r="G784" s="434" t="s">
        <v>6331</v>
      </c>
      <c r="H784" s="435" t="s">
        <v>6332</v>
      </c>
    </row>
    <row r="785" spans="1:8">
      <c r="A785" s="437" t="s">
        <v>2250</v>
      </c>
      <c r="B785" s="435"/>
      <c r="D785" s="437" t="s">
        <v>4058</v>
      </c>
      <c r="E785" s="435"/>
      <c r="G785" s="437" t="s">
        <v>6333</v>
      </c>
      <c r="H785" s="435"/>
    </row>
    <row r="786" spans="1:8">
      <c r="A786" s="434" t="s">
        <v>79</v>
      </c>
      <c r="B786" s="435" t="s">
        <v>2251</v>
      </c>
      <c r="D786" s="437" t="s">
        <v>4059</v>
      </c>
      <c r="E786" s="435"/>
      <c r="G786" s="437" t="s">
        <v>6334</v>
      </c>
      <c r="H786" s="435"/>
    </row>
    <row r="787" spans="1:8">
      <c r="A787" s="434" t="s">
        <v>2252</v>
      </c>
      <c r="B787" s="435" t="s">
        <v>2251</v>
      </c>
      <c r="D787" s="437" t="s">
        <v>4060</v>
      </c>
      <c r="E787" s="435"/>
      <c r="G787" s="437" t="s">
        <v>6335</v>
      </c>
      <c r="H787" s="435"/>
    </row>
    <row r="788" spans="1:8">
      <c r="A788" s="437" t="s">
        <v>2253</v>
      </c>
      <c r="B788" s="435"/>
      <c r="D788" s="437" t="s">
        <v>4061</v>
      </c>
      <c r="E788" s="435"/>
      <c r="G788" s="437" t="s">
        <v>6336</v>
      </c>
      <c r="H788" s="435"/>
    </row>
    <row r="789" spans="1:8">
      <c r="A789" s="437" t="s">
        <v>2254</v>
      </c>
      <c r="B789" s="435"/>
      <c r="D789" s="437" t="s">
        <v>4062</v>
      </c>
      <c r="E789" s="435"/>
      <c r="G789" s="437" t="s">
        <v>6337</v>
      </c>
      <c r="H789" s="435"/>
    </row>
    <row r="790" spans="1:8">
      <c r="A790" s="437" t="s">
        <v>2255</v>
      </c>
      <c r="B790" s="435"/>
      <c r="D790" s="434" t="s">
        <v>4063</v>
      </c>
      <c r="E790" s="435" t="s">
        <v>4064</v>
      </c>
      <c r="G790" s="434" t="s">
        <v>6383</v>
      </c>
      <c r="H790" s="435" t="s">
        <v>6384</v>
      </c>
    </row>
    <row r="791" spans="1:8">
      <c r="A791" s="437" t="s">
        <v>2256</v>
      </c>
      <c r="B791" s="435"/>
      <c r="D791" s="437" t="s">
        <v>4065</v>
      </c>
      <c r="E791" s="435"/>
      <c r="G791" s="434" t="s">
        <v>6385</v>
      </c>
      <c r="H791" s="435" t="s">
        <v>6384</v>
      </c>
    </row>
    <row r="792" spans="1:8">
      <c r="A792" s="434" t="s">
        <v>2257</v>
      </c>
      <c r="B792" s="435" t="s">
        <v>2258</v>
      </c>
      <c r="D792" s="437" t="s">
        <v>4066</v>
      </c>
      <c r="E792" s="435"/>
      <c r="G792" s="437" t="s">
        <v>6386</v>
      </c>
      <c r="H792" s="435"/>
    </row>
    <row r="793" spans="1:8">
      <c r="A793" s="437" t="s">
        <v>2259</v>
      </c>
      <c r="B793" s="435"/>
      <c r="D793" s="434" t="s">
        <v>4067</v>
      </c>
      <c r="E793" s="435" t="s">
        <v>4068</v>
      </c>
      <c r="G793" s="434" t="s">
        <v>6424</v>
      </c>
      <c r="H793" s="435" t="s">
        <v>6425</v>
      </c>
    </row>
    <row r="794" spans="1:8">
      <c r="A794" s="437" t="s">
        <v>2260</v>
      </c>
      <c r="B794" s="435"/>
      <c r="D794" s="437" t="s">
        <v>4069</v>
      </c>
      <c r="E794" s="435"/>
      <c r="G794" s="434" t="s">
        <v>6426</v>
      </c>
      <c r="H794" s="435" t="s">
        <v>6425</v>
      </c>
    </row>
    <row r="795" spans="1:8">
      <c r="A795" s="434" t="s">
        <v>2261</v>
      </c>
      <c r="B795" s="435" t="s">
        <v>2262</v>
      </c>
      <c r="D795" s="434" t="s">
        <v>616</v>
      </c>
      <c r="E795" s="435" t="s">
        <v>4070</v>
      </c>
      <c r="G795" s="434" t="s">
        <v>6427</v>
      </c>
      <c r="H795" s="435" t="s">
        <v>6425</v>
      </c>
    </row>
    <row r="796" spans="1:8">
      <c r="A796" s="434" t="s">
        <v>2263</v>
      </c>
      <c r="B796" s="435" t="s">
        <v>2262</v>
      </c>
      <c r="D796" s="434" t="s">
        <v>4071</v>
      </c>
      <c r="E796" s="435" t="s">
        <v>4070</v>
      </c>
      <c r="G796" s="437" t="s">
        <v>6428</v>
      </c>
      <c r="H796" s="435"/>
    </row>
    <row r="797" spans="1:8">
      <c r="A797" s="437" t="s">
        <v>2264</v>
      </c>
      <c r="B797" s="435"/>
      <c r="D797" s="437" t="s">
        <v>4072</v>
      </c>
      <c r="E797" s="435"/>
      <c r="G797" s="437" t="s">
        <v>6429</v>
      </c>
      <c r="H797" s="435"/>
    </row>
    <row r="798" spans="1:8">
      <c r="A798" s="437" t="s">
        <v>2265</v>
      </c>
      <c r="B798" s="435"/>
      <c r="D798" s="437" t="s">
        <v>4073</v>
      </c>
      <c r="E798" s="435"/>
      <c r="G798" s="437" t="s">
        <v>6430</v>
      </c>
      <c r="H798" s="435"/>
    </row>
    <row r="799" spans="1:8">
      <c r="A799" s="437" t="s">
        <v>2266</v>
      </c>
      <c r="B799" s="435"/>
      <c r="D799" s="434" t="s">
        <v>4074</v>
      </c>
      <c r="E799" s="435" t="s">
        <v>4075</v>
      </c>
      <c r="G799" s="437" t="s">
        <v>6431</v>
      </c>
      <c r="H799" s="435"/>
    </row>
    <row r="800" spans="1:8">
      <c r="A800" s="437" t="s">
        <v>2267</v>
      </c>
      <c r="B800" s="435"/>
      <c r="D800" s="434" t="s">
        <v>4076</v>
      </c>
      <c r="E800" s="435" t="s">
        <v>4077</v>
      </c>
      <c r="G800" s="434" t="s">
        <v>6432</v>
      </c>
      <c r="H800" s="435" t="s">
        <v>6425</v>
      </c>
    </row>
    <row r="801" spans="1:8">
      <c r="A801" s="437" t="s">
        <v>2268</v>
      </c>
      <c r="B801" s="435"/>
      <c r="D801" s="437" t="s">
        <v>4078</v>
      </c>
      <c r="E801" s="435"/>
      <c r="G801" s="437" t="s">
        <v>6433</v>
      </c>
      <c r="H801" s="435"/>
    </row>
    <row r="802" spans="1:8">
      <c r="A802" s="434" t="s">
        <v>2269</v>
      </c>
      <c r="B802" s="435" t="s">
        <v>2270</v>
      </c>
      <c r="D802" s="434" t="s">
        <v>4079</v>
      </c>
      <c r="E802" s="435" t="s">
        <v>4080</v>
      </c>
      <c r="G802" s="437" t="s">
        <v>6434</v>
      </c>
      <c r="H802" s="435"/>
    </row>
    <row r="803" spans="1:8">
      <c r="A803" s="437" t="s">
        <v>2271</v>
      </c>
      <c r="B803" s="435"/>
      <c r="D803" s="437" t="s">
        <v>4081</v>
      </c>
      <c r="E803" s="435"/>
      <c r="G803" s="437" t="s">
        <v>6435</v>
      </c>
      <c r="H803" s="435"/>
    </row>
    <row r="804" spans="1:8">
      <c r="A804" s="437" t="s">
        <v>2272</v>
      </c>
      <c r="B804" s="435"/>
      <c r="D804" s="437" t="s">
        <v>4082</v>
      </c>
      <c r="E804" s="435"/>
      <c r="G804" s="437" t="s">
        <v>6436</v>
      </c>
      <c r="H804" s="435"/>
    </row>
    <row r="805" spans="1:8">
      <c r="A805" s="437" t="s">
        <v>2273</v>
      </c>
      <c r="B805" s="435"/>
      <c r="D805" s="434" t="s">
        <v>611</v>
      </c>
      <c r="E805" s="435" t="s">
        <v>4083</v>
      </c>
      <c r="G805" s="437" t="s">
        <v>6437</v>
      </c>
      <c r="H805" s="435"/>
    </row>
    <row r="806" spans="1:8">
      <c r="A806" s="434" t="s">
        <v>2274</v>
      </c>
      <c r="B806" s="435" t="s">
        <v>2275</v>
      </c>
      <c r="D806" s="434" t="s">
        <v>4084</v>
      </c>
      <c r="E806" s="435" t="s">
        <v>4083</v>
      </c>
      <c r="G806" s="437" t="s">
        <v>6438</v>
      </c>
      <c r="H806" s="435"/>
    </row>
    <row r="807" spans="1:8">
      <c r="A807" s="437" t="s">
        <v>2276</v>
      </c>
      <c r="B807" s="435"/>
      <c r="D807" s="437" t="s">
        <v>4085</v>
      </c>
      <c r="E807" s="435"/>
      <c r="G807" s="437" t="s">
        <v>6439</v>
      </c>
      <c r="H807" s="435"/>
    </row>
    <row r="808" spans="1:8">
      <c r="A808" s="437" t="s">
        <v>2277</v>
      </c>
      <c r="B808" s="435"/>
      <c r="D808" s="434" t="s">
        <v>4086</v>
      </c>
      <c r="E808" s="435" t="s">
        <v>4087</v>
      </c>
      <c r="G808" s="437" t="s">
        <v>6440</v>
      </c>
      <c r="H808" s="435"/>
    </row>
    <row r="809" spans="1:8">
      <c r="A809" s="437" t="s">
        <v>2278</v>
      </c>
      <c r="B809" s="435"/>
      <c r="D809" s="434" t="s">
        <v>4088</v>
      </c>
      <c r="E809" s="435" t="s">
        <v>4089</v>
      </c>
      <c r="G809" s="437" t="s">
        <v>6441</v>
      </c>
      <c r="H809" s="435"/>
    </row>
    <row r="810" spans="1:8">
      <c r="A810" s="437" t="s">
        <v>2279</v>
      </c>
      <c r="B810" s="435"/>
      <c r="D810" s="434" t="s">
        <v>4090</v>
      </c>
      <c r="E810" s="435" t="s">
        <v>4089</v>
      </c>
      <c r="G810" s="437" t="s">
        <v>6442</v>
      </c>
      <c r="H810" s="435"/>
    </row>
    <row r="811" spans="1:8">
      <c r="A811" s="437" t="s">
        <v>2280</v>
      </c>
      <c r="B811" s="435"/>
      <c r="D811" s="437" t="s">
        <v>4091</v>
      </c>
      <c r="E811" s="435"/>
      <c r="G811" s="437" t="s">
        <v>6443</v>
      </c>
      <c r="H811" s="435"/>
    </row>
    <row r="812" spans="1:8">
      <c r="A812" s="437" t="s">
        <v>2281</v>
      </c>
      <c r="B812" s="435"/>
      <c r="D812" s="437" t="s">
        <v>4092</v>
      </c>
      <c r="E812" s="435"/>
      <c r="G812" s="437" t="s">
        <v>6444</v>
      </c>
      <c r="H812" s="435"/>
    </row>
    <row r="813" spans="1:8">
      <c r="A813" s="437" t="s">
        <v>2282</v>
      </c>
      <c r="B813" s="435"/>
      <c r="D813" s="434" t="s">
        <v>4093</v>
      </c>
      <c r="E813" s="435" t="s">
        <v>4094</v>
      </c>
      <c r="G813" s="437" t="s">
        <v>6445</v>
      </c>
      <c r="H813" s="435"/>
    </row>
    <row r="814" spans="1:8">
      <c r="A814" s="437" t="s">
        <v>2283</v>
      </c>
      <c r="B814" s="435"/>
      <c r="D814" s="437" t="s">
        <v>4095</v>
      </c>
      <c r="E814" s="435"/>
      <c r="G814" s="437" t="s">
        <v>6446</v>
      </c>
      <c r="H814" s="435"/>
    </row>
    <row r="815" spans="1:8">
      <c r="A815" s="434" t="s">
        <v>2284</v>
      </c>
      <c r="B815" s="435" t="s">
        <v>2285</v>
      </c>
      <c r="D815" s="437" t="s">
        <v>4096</v>
      </c>
      <c r="E815" s="435"/>
      <c r="G815" s="437" t="s">
        <v>6447</v>
      </c>
      <c r="H815" s="435"/>
    </row>
    <row r="816" spans="1:8">
      <c r="A816" s="437" t="s">
        <v>2286</v>
      </c>
      <c r="B816" s="435"/>
      <c r="D816" s="434" t="s">
        <v>4097</v>
      </c>
      <c r="E816" s="435" t="s">
        <v>4098</v>
      </c>
      <c r="G816" s="437" t="s">
        <v>6448</v>
      </c>
      <c r="H816" s="435"/>
    </row>
    <row r="817" spans="1:8">
      <c r="A817" s="437" t="s">
        <v>2287</v>
      </c>
      <c r="B817" s="435"/>
      <c r="D817" s="434" t="s">
        <v>4099</v>
      </c>
      <c r="E817" s="435" t="s">
        <v>4098</v>
      </c>
      <c r="G817" s="437" t="s">
        <v>6449</v>
      </c>
      <c r="H817" s="435"/>
    </row>
    <row r="818" spans="1:8">
      <c r="A818" s="437" t="s">
        <v>2288</v>
      </c>
      <c r="B818" s="435"/>
      <c r="D818" s="437" t="s">
        <v>4100</v>
      </c>
      <c r="E818" s="435"/>
      <c r="G818" s="437" t="s">
        <v>6450</v>
      </c>
      <c r="H818" s="435"/>
    </row>
    <row r="819" spans="1:8">
      <c r="A819" s="434" t="s">
        <v>2289</v>
      </c>
      <c r="B819" s="435" t="s">
        <v>2290</v>
      </c>
      <c r="D819" s="437" t="s">
        <v>4101</v>
      </c>
      <c r="E819" s="435"/>
      <c r="G819" s="437" t="s">
        <v>6451</v>
      </c>
      <c r="H819" s="435"/>
    </row>
    <row r="820" spans="1:8">
      <c r="A820" s="434" t="s">
        <v>2291</v>
      </c>
      <c r="B820" s="435" t="s">
        <v>2292</v>
      </c>
      <c r="D820" s="437" t="s">
        <v>4102</v>
      </c>
      <c r="E820" s="435"/>
      <c r="G820" s="437" t="s">
        <v>6452</v>
      </c>
      <c r="H820" s="435"/>
    </row>
    <row r="821" spans="1:8">
      <c r="A821" s="437" t="s">
        <v>2293</v>
      </c>
      <c r="B821" s="435"/>
      <c r="D821" s="437" t="s">
        <v>4103</v>
      </c>
      <c r="E821" s="435"/>
      <c r="G821" s="437" t="s">
        <v>6453</v>
      </c>
      <c r="H821" s="435"/>
    </row>
    <row r="822" spans="1:8">
      <c r="A822" s="437" t="s">
        <v>2294</v>
      </c>
      <c r="B822" s="435"/>
      <c r="D822" s="434" t="s">
        <v>4104</v>
      </c>
      <c r="E822" s="435" t="s">
        <v>4105</v>
      </c>
      <c r="G822" s="437" t="s">
        <v>6454</v>
      </c>
      <c r="H822" s="435"/>
    </row>
    <row r="823" spans="1:8">
      <c r="A823" s="434" t="s">
        <v>2295</v>
      </c>
      <c r="B823" s="435" t="s">
        <v>2296</v>
      </c>
      <c r="D823" s="434" t="s">
        <v>4106</v>
      </c>
      <c r="E823" s="435" t="s">
        <v>4105</v>
      </c>
      <c r="G823" s="437" t="s">
        <v>6455</v>
      </c>
      <c r="H823" s="435"/>
    </row>
    <row r="824" spans="1:8">
      <c r="A824" s="437" t="s">
        <v>2297</v>
      </c>
      <c r="B824" s="435"/>
      <c r="D824" s="437" t="s">
        <v>4107</v>
      </c>
      <c r="E824" s="435"/>
      <c r="G824" s="437" t="s">
        <v>6456</v>
      </c>
      <c r="H824" s="435"/>
    </row>
    <row r="825" spans="1:8">
      <c r="A825" s="437" t="s">
        <v>2298</v>
      </c>
      <c r="B825" s="435"/>
      <c r="D825" s="437" t="s">
        <v>4108</v>
      </c>
      <c r="E825" s="435"/>
      <c r="G825" s="437" t="s">
        <v>6457</v>
      </c>
      <c r="H825" s="435"/>
    </row>
    <row r="826" spans="1:8">
      <c r="A826" s="437" t="s">
        <v>2299</v>
      </c>
      <c r="B826" s="435"/>
      <c r="D826" s="437" t="s">
        <v>4109</v>
      </c>
      <c r="E826" s="435"/>
      <c r="G826" s="437" t="s">
        <v>6458</v>
      </c>
      <c r="H826" s="435"/>
    </row>
    <row r="827" spans="1:8">
      <c r="A827" s="437" t="s">
        <v>2300</v>
      </c>
      <c r="B827" s="435"/>
      <c r="D827" s="437" t="s">
        <v>4110</v>
      </c>
      <c r="E827" s="435"/>
      <c r="G827" s="437" t="s">
        <v>6459</v>
      </c>
      <c r="H827" s="435"/>
    </row>
    <row r="828" spans="1:8">
      <c r="A828" s="437" t="s">
        <v>2301</v>
      </c>
      <c r="B828" s="435"/>
      <c r="D828" s="437" t="s">
        <v>4111</v>
      </c>
      <c r="E828" s="435"/>
      <c r="G828" s="437" t="s">
        <v>6460</v>
      </c>
      <c r="H828" s="435"/>
    </row>
    <row r="829" spans="1:8">
      <c r="A829" s="437" t="s">
        <v>2302</v>
      </c>
      <c r="B829" s="435"/>
      <c r="D829" s="434" t="s">
        <v>4112</v>
      </c>
      <c r="E829" s="435" t="s">
        <v>4113</v>
      </c>
      <c r="G829" s="437" t="s">
        <v>6461</v>
      </c>
      <c r="H829" s="435"/>
    </row>
    <row r="830" spans="1:8">
      <c r="A830" s="437" t="s">
        <v>2303</v>
      </c>
      <c r="B830" s="435"/>
      <c r="D830" s="437" t="s">
        <v>4114</v>
      </c>
      <c r="E830" s="435"/>
      <c r="G830" s="434" t="s">
        <v>10029</v>
      </c>
      <c r="H830" s="435" t="s">
        <v>10030</v>
      </c>
    </row>
    <row r="831" spans="1:8">
      <c r="A831" s="434" t="s">
        <v>2304</v>
      </c>
      <c r="B831" s="435" t="s">
        <v>2305</v>
      </c>
      <c r="D831" s="437" t="s">
        <v>4115</v>
      </c>
      <c r="E831" s="435"/>
      <c r="G831" s="437" t="s">
        <v>10031</v>
      </c>
      <c r="H831" s="435"/>
    </row>
    <row r="832" spans="1:8">
      <c r="A832" s="434" t="s">
        <v>2306</v>
      </c>
      <c r="B832" s="435" t="s">
        <v>2305</v>
      </c>
      <c r="D832" s="437" t="s">
        <v>4116</v>
      </c>
      <c r="E832" s="435"/>
      <c r="G832" s="437" t="s">
        <v>10032</v>
      </c>
      <c r="H832" s="435"/>
    </row>
    <row r="833" spans="1:8">
      <c r="A833" s="437" t="s">
        <v>2307</v>
      </c>
      <c r="B833" s="435"/>
      <c r="D833" s="437" t="s">
        <v>4117</v>
      </c>
      <c r="E833" s="435"/>
      <c r="G833" s="434" t="s">
        <v>10033</v>
      </c>
      <c r="H833" s="435" t="s">
        <v>10034</v>
      </c>
    </row>
    <row r="834" spans="1:8">
      <c r="A834" s="437" t="s">
        <v>2308</v>
      </c>
      <c r="B834" s="435"/>
      <c r="D834" s="437" t="s">
        <v>4118</v>
      </c>
      <c r="E834" s="435"/>
      <c r="G834" s="434" t="s">
        <v>10035</v>
      </c>
      <c r="H834" s="435" t="s">
        <v>10034</v>
      </c>
    </row>
    <row r="835" spans="1:8">
      <c r="A835" s="434" t="s">
        <v>2309</v>
      </c>
      <c r="B835" s="435" t="s">
        <v>2310</v>
      </c>
      <c r="D835" s="437" t="s">
        <v>4119</v>
      </c>
      <c r="E835" s="435"/>
      <c r="G835" s="437" t="s">
        <v>10036</v>
      </c>
      <c r="H835" s="435"/>
    </row>
    <row r="836" spans="1:8">
      <c r="A836" s="437" t="s">
        <v>2311</v>
      </c>
      <c r="B836" s="435"/>
      <c r="D836" s="434" t="s">
        <v>4120</v>
      </c>
      <c r="E836" s="435" t="s">
        <v>4121</v>
      </c>
      <c r="G836" s="437" t="s">
        <v>10037</v>
      </c>
      <c r="H836" s="435"/>
    </row>
    <row r="837" spans="1:8">
      <c r="A837" s="437" t="s">
        <v>2312</v>
      </c>
      <c r="B837" s="435"/>
      <c r="D837" s="437" t="s">
        <v>4122</v>
      </c>
      <c r="E837" s="435"/>
      <c r="G837" s="437" t="s">
        <v>10038</v>
      </c>
      <c r="H837" s="435"/>
    </row>
    <row r="838" spans="1:8">
      <c r="A838" s="437" t="s">
        <v>2313</v>
      </c>
      <c r="B838" s="435"/>
      <c r="D838" s="434" t="s">
        <v>4123</v>
      </c>
      <c r="E838" s="435" t="s">
        <v>4124</v>
      </c>
      <c r="G838" s="434" t="s">
        <v>6552</v>
      </c>
      <c r="H838" s="435" t="s">
        <v>6553</v>
      </c>
    </row>
    <row r="839" spans="1:8">
      <c r="A839" s="437" t="s">
        <v>2314</v>
      </c>
      <c r="B839" s="435"/>
      <c r="D839" s="434" t="s">
        <v>4125</v>
      </c>
      <c r="E839" s="435" t="s">
        <v>4124</v>
      </c>
      <c r="G839" s="434" t="s">
        <v>6554</v>
      </c>
      <c r="H839" s="435" t="s">
        <v>6553</v>
      </c>
    </row>
    <row r="840" spans="1:8">
      <c r="A840" s="434" t="s">
        <v>81</v>
      </c>
      <c r="B840" s="435" t="s">
        <v>2315</v>
      </c>
      <c r="D840" s="437" t="s">
        <v>4126</v>
      </c>
      <c r="E840" s="435"/>
      <c r="G840" s="437" t="s">
        <v>6555</v>
      </c>
      <c r="H840" s="435"/>
    </row>
    <row r="841" spans="1:8">
      <c r="A841" s="434" t="s">
        <v>2316</v>
      </c>
      <c r="B841" s="435" t="s">
        <v>2315</v>
      </c>
      <c r="D841" s="437" t="s">
        <v>4127</v>
      </c>
      <c r="E841" s="435"/>
      <c r="G841" s="437" t="s">
        <v>6556</v>
      </c>
      <c r="H841" s="435"/>
    </row>
    <row r="842" spans="1:8">
      <c r="A842" s="437" t="s">
        <v>2317</v>
      </c>
      <c r="B842" s="435"/>
      <c r="D842" s="437" t="s">
        <v>4128</v>
      </c>
      <c r="E842" s="435"/>
      <c r="G842" s="434" t="s">
        <v>6593</v>
      </c>
      <c r="H842" s="435" t="s">
        <v>6594</v>
      </c>
    </row>
    <row r="843" spans="1:8">
      <c r="A843" s="437" t="s">
        <v>2318</v>
      </c>
      <c r="B843" s="435"/>
      <c r="D843" s="437" t="s">
        <v>4129</v>
      </c>
      <c r="E843" s="435"/>
      <c r="G843" s="437" t="s">
        <v>6595</v>
      </c>
      <c r="H843" s="435"/>
    </row>
    <row r="844" spans="1:8">
      <c r="A844" s="437" t="s">
        <v>2319</v>
      </c>
      <c r="B844" s="435"/>
      <c r="D844" s="434" t="s">
        <v>4130</v>
      </c>
      <c r="E844" s="435" t="s">
        <v>4124</v>
      </c>
      <c r="G844" s="437" t="s">
        <v>6596</v>
      </c>
      <c r="H844" s="435"/>
    </row>
    <row r="845" spans="1:8">
      <c r="A845" s="437" t="s">
        <v>2320</v>
      </c>
      <c r="B845" s="435"/>
      <c r="D845" s="437" t="s">
        <v>4131</v>
      </c>
      <c r="E845" s="435"/>
      <c r="G845" s="437" t="s">
        <v>6597</v>
      </c>
      <c r="H845" s="435"/>
    </row>
    <row r="846" spans="1:8">
      <c r="A846" s="437" t="s">
        <v>2321</v>
      </c>
      <c r="B846" s="435"/>
      <c r="D846" s="437" t="s">
        <v>4132</v>
      </c>
      <c r="E846" s="435"/>
      <c r="G846" s="437" t="s">
        <v>6598</v>
      </c>
      <c r="H846" s="435"/>
    </row>
    <row r="847" spans="1:8">
      <c r="A847" s="437" t="s">
        <v>2322</v>
      </c>
      <c r="B847" s="435"/>
      <c r="D847" s="437" t="s">
        <v>4133</v>
      </c>
      <c r="E847" s="435"/>
      <c r="G847" s="437" t="s">
        <v>6599</v>
      </c>
      <c r="H847" s="435"/>
    </row>
    <row r="848" spans="1:8">
      <c r="A848" s="437" t="s">
        <v>2323</v>
      </c>
      <c r="B848" s="435"/>
      <c r="D848" s="437" t="s">
        <v>4134</v>
      </c>
      <c r="E848" s="435"/>
      <c r="G848" s="437" t="s">
        <v>6600</v>
      </c>
      <c r="H848" s="435"/>
    </row>
    <row r="849" spans="1:8">
      <c r="A849" s="434" t="s">
        <v>2324</v>
      </c>
      <c r="B849" s="435" t="s">
        <v>2325</v>
      </c>
      <c r="D849" s="434" t="s">
        <v>4135</v>
      </c>
      <c r="E849" s="435" t="s">
        <v>4136</v>
      </c>
      <c r="G849" s="437" t="s">
        <v>6601</v>
      </c>
      <c r="H849" s="435"/>
    </row>
    <row r="850" spans="1:8">
      <c r="A850" s="437" t="s">
        <v>2326</v>
      </c>
      <c r="B850" s="435"/>
      <c r="D850" s="434" t="s">
        <v>4137</v>
      </c>
      <c r="E850" s="435" t="s">
        <v>4136</v>
      </c>
      <c r="G850" s="437" t="s">
        <v>6602</v>
      </c>
      <c r="H850" s="435"/>
    </row>
    <row r="851" spans="1:8">
      <c r="A851" s="437" t="s">
        <v>2327</v>
      </c>
      <c r="B851" s="435"/>
      <c r="D851" s="437" t="s">
        <v>4138</v>
      </c>
      <c r="E851" s="435"/>
      <c r="G851" s="437" t="s">
        <v>6603</v>
      </c>
      <c r="H851" s="435"/>
    </row>
    <row r="852" spans="1:8">
      <c r="A852" s="437" t="s">
        <v>2328</v>
      </c>
      <c r="B852" s="435"/>
      <c r="D852" s="437" t="s">
        <v>4139</v>
      </c>
      <c r="E852" s="435"/>
      <c r="G852" s="437" t="s">
        <v>6604</v>
      </c>
      <c r="H852" s="435"/>
    </row>
    <row r="853" spans="1:8">
      <c r="A853" s="437" t="s">
        <v>2329</v>
      </c>
      <c r="B853" s="435"/>
      <c r="D853" s="437" t="s">
        <v>4140</v>
      </c>
      <c r="E853" s="435"/>
      <c r="G853" s="437" t="s">
        <v>6605</v>
      </c>
      <c r="H853" s="435"/>
    </row>
    <row r="854" spans="1:8">
      <c r="A854" s="437" t="s">
        <v>2330</v>
      </c>
      <c r="B854" s="435"/>
      <c r="D854" s="437" t="s">
        <v>4141</v>
      </c>
      <c r="E854" s="435"/>
      <c r="G854" s="437" t="s">
        <v>6606</v>
      </c>
      <c r="H854" s="435"/>
    </row>
    <row r="855" spans="1:8">
      <c r="A855" s="437" t="s">
        <v>2331</v>
      </c>
      <c r="B855" s="435"/>
      <c r="D855" s="434" t="s">
        <v>4142</v>
      </c>
      <c r="E855" s="435" t="s">
        <v>4143</v>
      </c>
      <c r="G855" s="437" t="s">
        <v>6607</v>
      </c>
      <c r="H855" s="435"/>
    </row>
    <row r="856" spans="1:8">
      <c r="A856" s="437" t="s">
        <v>2332</v>
      </c>
      <c r="B856" s="435"/>
      <c r="D856" s="434" t="s">
        <v>4144</v>
      </c>
      <c r="E856" s="435" t="s">
        <v>4143</v>
      </c>
      <c r="G856" s="437" t="s">
        <v>6608</v>
      </c>
      <c r="H856" s="435"/>
    </row>
    <row r="857" spans="1:8">
      <c r="A857" s="437" t="s">
        <v>2333</v>
      </c>
      <c r="B857" s="435"/>
      <c r="D857" s="437" t="s">
        <v>4145</v>
      </c>
      <c r="E857" s="435"/>
      <c r="G857" s="437" t="s">
        <v>6609</v>
      </c>
      <c r="H857" s="435"/>
    </row>
    <row r="858" spans="1:8">
      <c r="A858" s="437" t="s">
        <v>2334</v>
      </c>
      <c r="B858" s="435"/>
      <c r="D858" s="434" t="s">
        <v>4146</v>
      </c>
      <c r="E858" s="435" t="s">
        <v>4143</v>
      </c>
      <c r="G858" s="437" t="s">
        <v>6610</v>
      </c>
      <c r="H858" s="435"/>
    </row>
    <row r="859" spans="1:8">
      <c r="A859" s="437" t="s">
        <v>2335</v>
      </c>
      <c r="B859" s="435"/>
      <c r="D859" s="434" t="s">
        <v>4147</v>
      </c>
      <c r="E859" s="435" t="s">
        <v>4148</v>
      </c>
      <c r="G859" s="437" t="s">
        <v>6611</v>
      </c>
      <c r="H859" s="435"/>
    </row>
    <row r="860" spans="1:8">
      <c r="A860" s="434" t="s">
        <v>2336</v>
      </c>
      <c r="B860" s="435" t="s">
        <v>2337</v>
      </c>
      <c r="D860" s="434" t="s">
        <v>4149</v>
      </c>
      <c r="E860" s="435" t="s">
        <v>4150</v>
      </c>
      <c r="G860" s="437" t="s">
        <v>6612</v>
      </c>
      <c r="H860" s="435"/>
    </row>
    <row r="861" spans="1:8">
      <c r="A861" s="437" t="s">
        <v>2338</v>
      </c>
      <c r="B861" s="435"/>
      <c r="D861" s="437" t="s">
        <v>4151</v>
      </c>
      <c r="E861" s="435"/>
      <c r="G861" s="437" t="s">
        <v>6613</v>
      </c>
      <c r="H861" s="435"/>
    </row>
    <row r="862" spans="1:8">
      <c r="A862" s="437" t="s">
        <v>2339</v>
      </c>
      <c r="B862" s="435"/>
      <c r="D862" s="437" t="s">
        <v>4152</v>
      </c>
      <c r="E862" s="435"/>
      <c r="G862" s="437" t="s">
        <v>6614</v>
      </c>
      <c r="H862" s="435"/>
    </row>
    <row r="863" spans="1:8">
      <c r="A863" s="437" t="s">
        <v>2340</v>
      </c>
      <c r="B863" s="435"/>
      <c r="D863" s="434" t="s">
        <v>4153</v>
      </c>
      <c r="E863" s="435" t="s">
        <v>4154</v>
      </c>
      <c r="G863" s="437" t="s">
        <v>6615</v>
      </c>
      <c r="H863" s="435"/>
    </row>
    <row r="864" spans="1:8">
      <c r="A864" s="437" t="s">
        <v>2341</v>
      </c>
      <c r="B864" s="435"/>
      <c r="D864" s="437" t="s">
        <v>4155</v>
      </c>
      <c r="E864" s="435"/>
      <c r="G864" s="437" t="s">
        <v>6616</v>
      </c>
      <c r="H864" s="435"/>
    </row>
    <row r="865" spans="1:8">
      <c r="A865" s="437" t="s">
        <v>2342</v>
      </c>
      <c r="B865" s="435"/>
      <c r="D865" s="437" t="s">
        <v>4156</v>
      </c>
      <c r="E865" s="435"/>
      <c r="G865" s="434" t="s">
        <v>6626</v>
      </c>
      <c r="H865" s="435" t="s">
        <v>6627</v>
      </c>
    </row>
    <row r="866" spans="1:8">
      <c r="A866" s="437" t="s">
        <v>2343</v>
      </c>
      <c r="B866" s="435"/>
      <c r="D866" s="437" t="s">
        <v>4157</v>
      </c>
      <c r="E866" s="435"/>
      <c r="G866" s="434" t="s">
        <v>6643</v>
      </c>
      <c r="H866" s="435" t="s">
        <v>6648</v>
      </c>
    </row>
    <row r="867" spans="1:8">
      <c r="A867" s="437" t="s">
        <v>2344</v>
      </c>
      <c r="B867" s="435"/>
      <c r="D867" s="434" t="s">
        <v>4158</v>
      </c>
      <c r="E867" s="435" t="s">
        <v>4159</v>
      </c>
      <c r="G867" s="434" t="s">
        <v>6649</v>
      </c>
      <c r="H867" s="435" t="s">
        <v>6648</v>
      </c>
    </row>
    <row r="868" spans="1:8">
      <c r="A868" s="437" t="s">
        <v>2345</v>
      </c>
      <c r="B868" s="435"/>
      <c r="D868" s="437" t="s">
        <v>4160</v>
      </c>
      <c r="E868" s="435"/>
      <c r="G868" s="434" t="s">
        <v>6651</v>
      </c>
      <c r="H868" s="435" t="s">
        <v>6652</v>
      </c>
    </row>
    <row r="869" spans="1:8">
      <c r="A869" s="434" t="s">
        <v>2346</v>
      </c>
      <c r="B869" s="435" t="s">
        <v>2347</v>
      </c>
      <c r="D869" s="437" t="s">
        <v>4161</v>
      </c>
      <c r="E869" s="435"/>
      <c r="G869" s="437" t="s">
        <v>6653</v>
      </c>
      <c r="H869" s="435"/>
    </row>
    <row r="870" spans="1:8">
      <c r="A870" s="434" t="s">
        <v>2348</v>
      </c>
      <c r="B870" s="435" t="s">
        <v>2347</v>
      </c>
      <c r="D870" s="437" t="s">
        <v>4162</v>
      </c>
      <c r="E870" s="435"/>
      <c r="G870" s="434" t="s">
        <v>6657</v>
      </c>
      <c r="H870" s="435" t="s">
        <v>6658</v>
      </c>
    </row>
    <row r="871" spans="1:8">
      <c r="A871" s="437" t="s">
        <v>2349</v>
      </c>
      <c r="B871" s="435"/>
      <c r="D871" s="437" t="s">
        <v>4163</v>
      </c>
      <c r="E871" s="435"/>
      <c r="G871" s="434" t="s">
        <v>6659</v>
      </c>
      <c r="H871" s="435" t="s">
        <v>6658</v>
      </c>
    </row>
    <row r="872" spans="1:8">
      <c r="A872" s="437" t="s">
        <v>2350</v>
      </c>
      <c r="B872" s="435"/>
      <c r="D872" s="437" t="s">
        <v>4164</v>
      </c>
      <c r="E872" s="435"/>
      <c r="G872" s="434" t="s">
        <v>6660</v>
      </c>
      <c r="H872" s="435" t="s">
        <v>6658</v>
      </c>
    </row>
    <row r="873" spans="1:8">
      <c r="A873" s="434" t="s">
        <v>2351</v>
      </c>
      <c r="B873" s="435" t="s">
        <v>2352</v>
      </c>
      <c r="D873" s="437" t="s">
        <v>4165</v>
      </c>
      <c r="E873" s="435"/>
      <c r="G873" s="437" t="s">
        <v>6661</v>
      </c>
      <c r="H873" s="435"/>
    </row>
    <row r="874" spans="1:8">
      <c r="A874" s="437" t="s">
        <v>2353</v>
      </c>
      <c r="B874" s="435"/>
      <c r="D874" s="437" t="s">
        <v>4166</v>
      </c>
      <c r="E874" s="435"/>
      <c r="G874" s="434" t="s">
        <v>10039</v>
      </c>
      <c r="H874" s="435" t="s">
        <v>10040</v>
      </c>
    </row>
    <row r="875" spans="1:8">
      <c r="A875" s="434" t="s">
        <v>2354</v>
      </c>
      <c r="B875" s="435" t="s">
        <v>2355</v>
      </c>
      <c r="D875" s="437" t="s">
        <v>4167</v>
      </c>
      <c r="E875" s="435"/>
      <c r="G875" s="434" t="s">
        <v>10041</v>
      </c>
      <c r="H875" s="435" t="s">
        <v>10040</v>
      </c>
    </row>
    <row r="876" spans="1:8">
      <c r="A876" s="437" t="s">
        <v>2356</v>
      </c>
      <c r="B876" s="435"/>
      <c r="D876" s="437" t="s">
        <v>4168</v>
      </c>
      <c r="E876" s="435"/>
      <c r="G876" s="434" t="s">
        <v>6832</v>
      </c>
      <c r="H876" s="435" t="s">
        <v>6833</v>
      </c>
    </row>
    <row r="877" spans="1:8">
      <c r="A877" s="437" t="s">
        <v>2357</v>
      </c>
      <c r="B877" s="435"/>
      <c r="D877" s="437" t="s">
        <v>4169</v>
      </c>
      <c r="E877" s="435"/>
      <c r="G877" s="437" t="s">
        <v>6834</v>
      </c>
      <c r="H877" s="435"/>
    </row>
    <row r="878" spans="1:8">
      <c r="A878" s="434" t="s">
        <v>2358</v>
      </c>
      <c r="B878" s="435" t="s">
        <v>2359</v>
      </c>
      <c r="D878" s="437" t="s">
        <v>4170</v>
      </c>
      <c r="E878" s="435"/>
      <c r="G878" s="437" t="s">
        <v>6835</v>
      </c>
      <c r="H878" s="435"/>
    </row>
    <row r="879" spans="1:8">
      <c r="A879" s="437" t="s">
        <v>2360</v>
      </c>
      <c r="B879" s="435"/>
      <c r="D879" s="437" t="s">
        <v>4171</v>
      </c>
      <c r="E879" s="435"/>
      <c r="G879" s="437" t="s">
        <v>6836</v>
      </c>
      <c r="H879" s="435"/>
    </row>
    <row r="880" spans="1:8">
      <c r="A880" s="437" t="s">
        <v>2361</v>
      </c>
      <c r="B880" s="435"/>
      <c r="D880" s="437" t="s">
        <v>4172</v>
      </c>
      <c r="E880" s="435"/>
      <c r="G880" s="434" t="s">
        <v>10042</v>
      </c>
      <c r="H880" s="435" t="s">
        <v>10043</v>
      </c>
    </row>
    <row r="881" spans="1:8">
      <c r="A881" s="437" t="s">
        <v>2362</v>
      </c>
      <c r="B881" s="435"/>
      <c r="D881" s="437" t="s">
        <v>4173</v>
      </c>
      <c r="E881" s="435"/>
      <c r="G881" s="437" t="s">
        <v>10044</v>
      </c>
      <c r="H881" s="435"/>
    </row>
    <row r="882" spans="1:8">
      <c r="A882" s="437" t="s">
        <v>2363</v>
      </c>
      <c r="B882" s="435"/>
      <c r="D882" s="437" t="s">
        <v>4174</v>
      </c>
      <c r="E882" s="435"/>
      <c r="G882" s="437" t="s">
        <v>10045</v>
      </c>
      <c r="H882" s="435"/>
    </row>
    <row r="883" spans="1:8">
      <c r="A883" s="434" t="s">
        <v>2364</v>
      </c>
      <c r="B883" s="435" t="s">
        <v>2365</v>
      </c>
      <c r="D883" s="437" t="s">
        <v>4175</v>
      </c>
      <c r="E883" s="435"/>
      <c r="G883" s="437" t="s">
        <v>10046</v>
      </c>
      <c r="H883" s="435"/>
    </row>
    <row r="884" spans="1:8">
      <c r="A884" s="437" t="s">
        <v>2366</v>
      </c>
      <c r="B884" s="435"/>
      <c r="D884" s="437" t="s">
        <v>4176</v>
      </c>
      <c r="E884" s="435"/>
      <c r="G884" s="437" t="s">
        <v>10047</v>
      </c>
      <c r="H884" s="435"/>
    </row>
    <row r="885" spans="1:8">
      <c r="A885" s="437" t="s">
        <v>2367</v>
      </c>
      <c r="B885" s="435"/>
      <c r="D885" s="437" t="s">
        <v>4177</v>
      </c>
      <c r="E885" s="435"/>
      <c r="G885" s="437" t="s">
        <v>10048</v>
      </c>
      <c r="H885" s="435"/>
    </row>
    <row r="886" spans="1:8">
      <c r="A886" s="437" t="s">
        <v>2368</v>
      </c>
      <c r="B886" s="435"/>
      <c r="D886" s="437" t="s">
        <v>4178</v>
      </c>
      <c r="E886" s="435"/>
      <c r="G886" s="437" t="s">
        <v>10049</v>
      </c>
      <c r="H886" s="435"/>
    </row>
    <row r="887" spans="1:8">
      <c r="A887" s="437" t="s">
        <v>2369</v>
      </c>
      <c r="B887" s="435"/>
      <c r="D887" s="434" t="s">
        <v>4179</v>
      </c>
      <c r="E887" s="435" t="s">
        <v>4180</v>
      </c>
      <c r="G887" s="434" t="s">
        <v>10050</v>
      </c>
      <c r="H887" s="435" t="s">
        <v>10051</v>
      </c>
    </row>
    <row r="888" spans="1:8">
      <c r="A888" s="434" t="s">
        <v>865</v>
      </c>
      <c r="B888" s="435" t="s">
        <v>2370</v>
      </c>
      <c r="D888" s="437" t="s">
        <v>4181</v>
      </c>
      <c r="E888" s="435"/>
      <c r="G888" s="437" t="s">
        <v>10052</v>
      </c>
      <c r="H888" s="435"/>
    </row>
    <row r="889" spans="1:8">
      <c r="A889" s="437" t="s">
        <v>2371</v>
      </c>
      <c r="B889" s="435"/>
      <c r="D889" s="437" t="s">
        <v>4182</v>
      </c>
      <c r="E889" s="435"/>
      <c r="G889" s="437" t="s">
        <v>10053</v>
      </c>
      <c r="H889" s="435"/>
    </row>
    <row r="890" spans="1:8">
      <c r="A890" s="437" t="s">
        <v>2372</v>
      </c>
      <c r="B890" s="435"/>
      <c r="D890" s="434" t="s">
        <v>4183</v>
      </c>
      <c r="E890" s="435" t="s">
        <v>4184</v>
      </c>
      <c r="G890" s="437" t="s">
        <v>10054</v>
      </c>
      <c r="H890" s="435"/>
    </row>
    <row r="891" spans="1:8">
      <c r="A891" s="437" t="s">
        <v>2373</v>
      </c>
      <c r="B891" s="435"/>
      <c r="D891" s="437" t="s">
        <v>4185</v>
      </c>
      <c r="E891" s="435"/>
      <c r="G891" s="437" t="s">
        <v>10055</v>
      </c>
      <c r="H891" s="435"/>
    </row>
    <row r="892" spans="1:8">
      <c r="A892" s="437" t="s">
        <v>2374</v>
      </c>
      <c r="B892" s="435"/>
      <c r="D892" s="437" t="s">
        <v>4186</v>
      </c>
      <c r="E892" s="435"/>
      <c r="G892" s="437" t="s">
        <v>10056</v>
      </c>
      <c r="H892" s="435"/>
    </row>
    <row r="893" spans="1:8">
      <c r="A893" s="437" t="s">
        <v>2375</v>
      </c>
      <c r="B893" s="435"/>
      <c r="D893" s="437" t="s">
        <v>4187</v>
      </c>
      <c r="E893" s="435"/>
      <c r="G893" s="437" t="s">
        <v>10057</v>
      </c>
      <c r="H893" s="435"/>
    </row>
    <row r="894" spans="1:8">
      <c r="A894" s="437" t="s">
        <v>2376</v>
      </c>
      <c r="B894" s="435"/>
      <c r="D894" s="434" t="s">
        <v>4188</v>
      </c>
      <c r="E894" s="435" t="s">
        <v>4189</v>
      </c>
      <c r="G894" s="437" t="s">
        <v>10058</v>
      </c>
      <c r="H894" s="435"/>
    </row>
    <row r="895" spans="1:8">
      <c r="A895" s="437" t="s">
        <v>2377</v>
      </c>
      <c r="B895" s="435"/>
      <c r="D895" s="437" t="s">
        <v>4190</v>
      </c>
      <c r="E895" s="435"/>
      <c r="G895" s="437" t="s">
        <v>10059</v>
      </c>
      <c r="H895" s="435"/>
    </row>
    <row r="896" spans="1:8">
      <c r="A896" s="437" t="s">
        <v>2378</v>
      </c>
      <c r="B896" s="435"/>
      <c r="D896" s="437" t="s">
        <v>4191</v>
      </c>
      <c r="E896" s="435"/>
      <c r="G896" s="434" t="s">
        <v>10060</v>
      </c>
      <c r="H896" s="435" t="s">
        <v>10061</v>
      </c>
    </row>
    <row r="897" spans="1:8">
      <c r="A897" s="434" t="s">
        <v>2379</v>
      </c>
      <c r="B897" s="435" t="s">
        <v>2380</v>
      </c>
      <c r="D897" s="437" t="s">
        <v>4192</v>
      </c>
      <c r="E897" s="435"/>
      <c r="G897" s="434" t="s">
        <v>10062</v>
      </c>
      <c r="H897" s="435" t="s">
        <v>10061</v>
      </c>
    </row>
    <row r="898" spans="1:8">
      <c r="A898" s="437" t="s">
        <v>2381</v>
      </c>
      <c r="B898" s="435"/>
      <c r="D898" s="437" t="s">
        <v>4193</v>
      </c>
      <c r="E898" s="435"/>
      <c r="G898" s="437" t="s">
        <v>10063</v>
      </c>
      <c r="H898" s="435"/>
    </row>
    <row r="899" spans="1:8">
      <c r="A899" s="434" t="s">
        <v>82</v>
      </c>
      <c r="B899" s="435" t="s">
        <v>2382</v>
      </c>
      <c r="D899" s="437" t="s">
        <v>4194</v>
      </c>
      <c r="E899" s="435"/>
      <c r="G899" s="437" t="s">
        <v>10064</v>
      </c>
      <c r="H899" s="435"/>
    </row>
    <row r="900" spans="1:8">
      <c r="A900" s="434" t="s">
        <v>2383</v>
      </c>
      <c r="B900" s="435" t="s">
        <v>2382</v>
      </c>
      <c r="D900" s="434" t="s">
        <v>4195</v>
      </c>
      <c r="E900" s="435" t="s">
        <v>4196</v>
      </c>
      <c r="G900" s="437" t="s">
        <v>10065</v>
      </c>
      <c r="H900" s="435"/>
    </row>
    <row r="901" spans="1:8">
      <c r="A901" s="437" t="s">
        <v>2384</v>
      </c>
      <c r="B901" s="435"/>
      <c r="D901" s="434" t="s">
        <v>4197</v>
      </c>
      <c r="E901" s="435" t="s">
        <v>4198</v>
      </c>
      <c r="G901" s="437" t="s">
        <v>10066</v>
      </c>
      <c r="H901" s="435"/>
    </row>
    <row r="902" spans="1:8">
      <c r="A902" s="434" t="s">
        <v>2385</v>
      </c>
      <c r="B902" s="435" t="s">
        <v>2382</v>
      </c>
      <c r="D902" s="434" t="s">
        <v>4199</v>
      </c>
      <c r="E902" s="435" t="s">
        <v>4198</v>
      </c>
      <c r="G902" s="437" t="s">
        <v>10067</v>
      </c>
      <c r="H902" s="435"/>
    </row>
    <row r="903" spans="1:8">
      <c r="A903" s="437" t="s">
        <v>2386</v>
      </c>
      <c r="B903" s="435"/>
      <c r="D903" s="437" t="s">
        <v>4200</v>
      </c>
      <c r="E903" s="435"/>
      <c r="G903" s="437" t="s">
        <v>10068</v>
      </c>
      <c r="H903" s="435"/>
    </row>
    <row r="904" spans="1:8">
      <c r="A904" s="437" t="s">
        <v>2387</v>
      </c>
      <c r="B904" s="435"/>
      <c r="D904" s="434" t="s">
        <v>4201</v>
      </c>
      <c r="E904" s="435" t="s">
        <v>4202</v>
      </c>
      <c r="G904" s="437" t="s">
        <v>10069</v>
      </c>
      <c r="H904" s="435"/>
    </row>
    <row r="905" spans="1:8">
      <c r="A905" s="434" t="s">
        <v>2388</v>
      </c>
      <c r="B905" s="435"/>
      <c r="D905" s="437" t="s">
        <v>4203</v>
      </c>
      <c r="E905" s="435"/>
      <c r="G905" s="437" t="s">
        <v>10070</v>
      </c>
      <c r="H905" s="435"/>
    </row>
    <row r="906" spans="1:8">
      <c r="A906" s="437" t="s">
        <v>2389</v>
      </c>
      <c r="B906" s="435"/>
      <c r="D906" s="434" t="s">
        <v>4204</v>
      </c>
      <c r="E906" s="435" t="s">
        <v>4205</v>
      </c>
      <c r="G906" s="437" t="s">
        <v>10071</v>
      </c>
      <c r="H906" s="435"/>
    </row>
    <row r="907" spans="1:8">
      <c r="A907" s="437" t="s">
        <v>2390</v>
      </c>
      <c r="B907" s="435"/>
      <c r="D907" s="437" t="s">
        <v>4206</v>
      </c>
      <c r="E907" s="435"/>
      <c r="G907" s="437" t="s">
        <v>10072</v>
      </c>
      <c r="H907" s="435"/>
    </row>
    <row r="908" spans="1:8">
      <c r="A908" s="437" t="s">
        <v>2391</v>
      </c>
      <c r="B908" s="435"/>
      <c r="D908" s="434" t="s">
        <v>4207</v>
      </c>
      <c r="E908" s="435" t="s">
        <v>4208</v>
      </c>
      <c r="G908" s="434" t="s">
        <v>10073</v>
      </c>
      <c r="H908" s="435" t="s">
        <v>10074</v>
      </c>
    </row>
    <row r="909" spans="1:8">
      <c r="A909" s="437" t="s">
        <v>2392</v>
      </c>
      <c r="B909" s="435"/>
      <c r="D909" s="434" t="s">
        <v>4209</v>
      </c>
      <c r="E909" s="435" t="s">
        <v>4210</v>
      </c>
      <c r="G909" s="437" t="s">
        <v>10075</v>
      </c>
      <c r="H909" s="435"/>
    </row>
    <row r="910" spans="1:8">
      <c r="A910" s="437" t="s">
        <v>2393</v>
      </c>
      <c r="B910" s="435"/>
      <c r="D910" s="434" t="s">
        <v>4211</v>
      </c>
      <c r="E910" s="435" t="s">
        <v>4212</v>
      </c>
      <c r="G910" s="437" t="s">
        <v>10076</v>
      </c>
      <c r="H910" s="435"/>
    </row>
    <row r="911" spans="1:8">
      <c r="A911" s="434" t="s">
        <v>83</v>
      </c>
      <c r="B911" s="435" t="s">
        <v>2394</v>
      </c>
      <c r="D911" s="434" t="s">
        <v>4213</v>
      </c>
      <c r="E911" s="435" t="s">
        <v>4214</v>
      </c>
      <c r="G911" s="437" t="s">
        <v>10077</v>
      </c>
      <c r="H911" s="435"/>
    </row>
    <row r="912" spans="1:8">
      <c r="A912" s="437" t="s">
        <v>2395</v>
      </c>
      <c r="B912" s="435"/>
      <c r="D912" s="434" t="s">
        <v>4215</v>
      </c>
      <c r="E912" s="435" t="s">
        <v>4214</v>
      </c>
      <c r="G912" s="437" t="s">
        <v>10078</v>
      </c>
      <c r="H912" s="435"/>
    </row>
    <row r="913" spans="1:8">
      <c r="A913" s="434" t="s">
        <v>2396</v>
      </c>
      <c r="B913" s="435" t="s">
        <v>2397</v>
      </c>
      <c r="D913" s="437" t="s">
        <v>4216</v>
      </c>
      <c r="E913" s="435"/>
      <c r="G913" s="437" t="s">
        <v>10079</v>
      </c>
      <c r="H913" s="435"/>
    </row>
    <row r="914" spans="1:8">
      <c r="A914" s="437" t="s">
        <v>2398</v>
      </c>
      <c r="B914" s="435"/>
      <c r="D914" s="437" t="s">
        <v>4217</v>
      </c>
      <c r="E914" s="435"/>
      <c r="G914" s="437" t="s">
        <v>10080</v>
      </c>
      <c r="H914" s="435"/>
    </row>
    <row r="915" spans="1:8">
      <c r="A915" s="437" t="s">
        <v>2399</v>
      </c>
      <c r="B915" s="435"/>
      <c r="D915" s="437" t="s">
        <v>4218</v>
      </c>
      <c r="E915" s="435"/>
      <c r="G915" s="437" t="s">
        <v>10081</v>
      </c>
      <c r="H915" s="435"/>
    </row>
    <row r="916" spans="1:8">
      <c r="A916" s="437" t="s">
        <v>2400</v>
      </c>
      <c r="B916" s="435"/>
      <c r="D916" s="437" t="s">
        <v>4219</v>
      </c>
      <c r="E916" s="435"/>
      <c r="G916" s="434" t="s">
        <v>10082</v>
      </c>
      <c r="H916" s="435" t="s">
        <v>10083</v>
      </c>
    </row>
    <row r="917" spans="1:8">
      <c r="A917" s="434" t="s">
        <v>84</v>
      </c>
      <c r="B917" s="435" t="s">
        <v>2401</v>
      </c>
      <c r="D917" s="437" t="s">
        <v>4220</v>
      </c>
      <c r="E917" s="435"/>
      <c r="G917" s="434" t="s">
        <v>10084</v>
      </c>
      <c r="H917" s="435" t="s">
        <v>10083</v>
      </c>
    </row>
    <row r="918" spans="1:8">
      <c r="A918" s="434" t="s">
        <v>2402</v>
      </c>
      <c r="B918" s="435" t="s">
        <v>2401</v>
      </c>
      <c r="D918" s="437" t="s">
        <v>4221</v>
      </c>
      <c r="E918" s="435"/>
      <c r="G918" s="437" t="s">
        <v>10085</v>
      </c>
      <c r="H918" s="435"/>
    </row>
    <row r="919" spans="1:8">
      <c r="A919" s="437" t="s">
        <v>2403</v>
      </c>
      <c r="B919" s="435"/>
      <c r="D919" s="437" t="s">
        <v>4222</v>
      </c>
      <c r="E919" s="435"/>
      <c r="G919" s="434" t="s">
        <v>6951</v>
      </c>
      <c r="H919" s="435" t="s">
        <v>6952</v>
      </c>
    </row>
    <row r="920" spans="1:8">
      <c r="A920" s="437" t="s">
        <v>2404</v>
      </c>
      <c r="B920" s="435"/>
      <c r="D920" s="437" t="s">
        <v>4223</v>
      </c>
      <c r="E920" s="435"/>
      <c r="G920" s="434" t="s">
        <v>6953</v>
      </c>
      <c r="H920" s="435" t="s">
        <v>6952</v>
      </c>
    </row>
    <row r="921" spans="1:8">
      <c r="A921" s="437" t="s">
        <v>2405</v>
      </c>
      <c r="B921" s="435"/>
      <c r="D921" s="437" t="s">
        <v>4224</v>
      </c>
      <c r="E921" s="435"/>
      <c r="G921" s="437" t="s">
        <v>6954</v>
      </c>
      <c r="H921" s="435"/>
    </row>
    <row r="922" spans="1:8">
      <c r="A922" s="437" t="s">
        <v>2406</v>
      </c>
      <c r="B922" s="435"/>
      <c r="D922" s="437" t="s">
        <v>4225</v>
      </c>
      <c r="E922" s="435"/>
      <c r="G922" s="437" t="s">
        <v>6955</v>
      </c>
      <c r="H922" s="435"/>
    </row>
    <row r="923" spans="1:8">
      <c r="A923" s="437" t="s">
        <v>2407</v>
      </c>
      <c r="B923" s="435"/>
      <c r="D923" s="437" t="s">
        <v>4226</v>
      </c>
      <c r="E923" s="435"/>
      <c r="G923" s="437" t="s">
        <v>6956</v>
      </c>
      <c r="H923" s="435"/>
    </row>
    <row r="924" spans="1:8">
      <c r="A924" s="437" t="s">
        <v>2408</v>
      </c>
      <c r="B924" s="435"/>
      <c r="D924" s="437" t="s">
        <v>4227</v>
      </c>
      <c r="E924" s="435"/>
      <c r="G924" s="437" t="s">
        <v>6957</v>
      </c>
      <c r="H924" s="435"/>
    </row>
    <row r="925" spans="1:8">
      <c r="A925" s="437" t="s">
        <v>2409</v>
      </c>
      <c r="B925" s="435"/>
      <c r="D925" s="437" t="s">
        <v>4228</v>
      </c>
      <c r="E925" s="435"/>
      <c r="G925" s="437" t="s">
        <v>6958</v>
      </c>
      <c r="H925" s="435"/>
    </row>
    <row r="926" spans="1:8">
      <c r="A926" s="437" t="s">
        <v>2410</v>
      </c>
      <c r="B926" s="435"/>
      <c r="D926" s="437" t="s">
        <v>4229</v>
      </c>
      <c r="E926" s="435"/>
      <c r="G926" s="437" t="s">
        <v>6959</v>
      </c>
      <c r="H926" s="435"/>
    </row>
    <row r="927" spans="1:8">
      <c r="A927" s="437" t="s">
        <v>2411</v>
      </c>
      <c r="B927" s="435"/>
      <c r="D927" s="437" t="s">
        <v>4230</v>
      </c>
      <c r="E927" s="435"/>
      <c r="G927" s="437" t="s">
        <v>6960</v>
      </c>
      <c r="H927" s="435"/>
    </row>
    <row r="928" spans="1:8">
      <c r="A928" s="437" t="s">
        <v>2412</v>
      </c>
      <c r="B928" s="435"/>
      <c r="D928" s="437" t="s">
        <v>4231</v>
      </c>
      <c r="E928" s="435"/>
      <c r="G928" s="434" t="s">
        <v>7078</v>
      </c>
      <c r="H928" s="435" t="s">
        <v>7079</v>
      </c>
    </row>
    <row r="929" spans="1:8">
      <c r="A929" s="437" t="s">
        <v>2413</v>
      </c>
      <c r="B929" s="435"/>
      <c r="D929" s="437" t="s">
        <v>4232</v>
      </c>
      <c r="E929" s="435"/>
      <c r="G929" s="434" t="s">
        <v>7080</v>
      </c>
      <c r="H929" s="435" t="s">
        <v>7079</v>
      </c>
    </row>
    <row r="930" spans="1:8">
      <c r="A930" s="437" t="s">
        <v>2414</v>
      </c>
      <c r="B930" s="435"/>
      <c r="D930" s="437" t="s">
        <v>4233</v>
      </c>
      <c r="E930" s="435"/>
      <c r="G930" s="437" t="s">
        <v>7081</v>
      </c>
      <c r="H930" s="435"/>
    </row>
    <row r="931" spans="1:8">
      <c r="A931" s="434" t="s">
        <v>2415</v>
      </c>
      <c r="B931" s="435" t="s">
        <v>2401</v>
      </c>
      <c r="D931" s="437" t="s">
        <v>4234</v>
      </c>
      <c r="E931" s="435"/>
      <c r="G931" s="437" t="s">
        <v>7082</v>
      </c>
      <c r="H931" s="435"/>
    </row>
    <row r="932" spans="1:8">
      <c r="A932" s="437" t="s">
        <v>2416</v>
      </c>
      <c r="B932" s="435"/>
      <c r="D932" s="437" t="s">
        <v>4235</v>
      </c>
      <c r="E932" s="435"/>
      <c r="G932" s="434" t="s">
        <v>7151</v>
      </c>
      <c r="H932" s="435" t="s">
        <v>7152</v>
      </c>
    </row>
    <row r="933" spans="1:8">
      <c r="A933" s="437" t="s">
        <v>2417</v>
      </c>
      <c r="B933" s="435"/>
      <c r="D933" s="437" t="s">
        <v>4236</v>
      </c>
      <c r="E933" s="435"/>
      <c r="G933" s="437" t="s">
        <v>7153</v>
      </c>
      <c r="H933" s="435"/>
    </row>
    <row r="934" spans="1:8">
      <c r="A934" s="437" t="s">
        <v>2418</v>
      </c>
      <c r="B934" s="435"/>
      <c r="D934" s="437" t="s">
        <v>4237</v>
      </c>
      <c r="E934" s="435"/>
      <c r="G934" s="437" t="s">
        <v>7154</v>
      </c>
      <c r="H934" s="435"/>
    </row>
    <row r="935" spans="1:8">
      <c r="A935" s="437" t="s">
        <v>2419</v>
      </c>
      <c r="B935" s="435"/>
      <c r="D935" s="434" t="s">
        <v>4238</v>
      </c>
      <c r="E935" s="435" t="s">
        <v>4214</v>
      </c>
      <c r="G935" s="434" t="s">
        <v>10086</v>
      </c>
      <c r="H935" s="435" t="s">
        <v>10087</v>
      </c>
    </row>
    <row r="936" spans="1:8">
      <c r="A936" s="437" t="s">
        <v>2420</v>
      </c>
      <c r="B936" s="435"/>
      <c r="D936" s="434" t="s">
        <v>4239</v>
      </c>
      <c r="E936" s="435" t="s">
        <v>4214</v>
      </c>
      <c r="G936" s="434" t="s">
        <v>10088</v>
      </c>
      <c r="H936" s="435" t="s">
        <v>10087</v>
      </c>
    </row>
    <row r="937" spans="1:8">
      <c r="A937" s="437" t="s">
        <v>2421</v>
      </c>
      <c r="B937" s="435"/>
      <c r="D937" s="437" t="s">
        <v>4240</v>
      </c>
      <c r="E937" s="435"/>
      <c r="G937" s="437" t="s">
        <v>10089</v>
      </c>
      <c r="H937" s="435"/>
    </row>
    <row r="938" spans="1:8">
      <c r="A938" s="437" t="s">
        <v>2422</v>
      </c>
      <c r="B938" s="435"/>
      <c r="D938" s="437" t="s">
        <v>4241</v>
      </c>
      <c r="E938" s="435"/>
      <c r="G938" s="437" t="s">
        <v>10090</v>
      </c>
      <c r="H938" s="435"/>
    </row>
    <row r="939" spans="1:8">
      <c r="A939" s="437" t="s">
        <v>2423</v>
      </c>
      <c r="B939" s="435"/>
      <c r="D939" s="437" t="s">
        <v>4242</v>
      </c>
      <c r="E939" s="435"/>
      <c r="G939" s="434" t="s">
        <v>10091</v>
      </c>
      <c r="H939" s="435" t="s">
        <v>10092</v>
      </c>
    </row>
    <row r="940" spans="1:8">
      <c r="A940" s="437" t="s">
        <v>2424</v>
      </c>
      <c r="B940" s="435"/>
      <c r="D940" s="437" t="s">
        <v>4243</v>
      </c>
      <c r="E940" s="435"/>
      <c r="G940" s="434" t="s">
        <v>10093</v>
      </c>
      <c r="H940" s="435" t="s">
        <v>10092</v>
      </c>
    </row>
    <row r="941" spans="1:8">
      <c r="A941" s="437" t="s">
        <v>2425</v>
      </c>
      <c r="B941" s="435"/>
      <c r="D941" s="437" t="s">
        <v>4244</v>
      </c>
      <c r="E941" s="435"/>
      <c r="G941" s="437" t="s">
        <v>10094</v>
      </c>
      <c r="H941" s="435"/>
    </row>
    <row r="942" spans="1:8">
      <c r="A942" s="437" t="s">
        <v>2426</v>
      </c>
      <c r="B942" s="435"/>
      <c r="D942" s="437" t="s">
        <v>4245</v>
      </c>
      <c r="E942" s="435"/>
      <c r="G942" s="437" t="s">
        <v>10095</v>
      </c>
      <c r="H942" s="435"/>
    </row>
    <row r="943" spans="1:8">
      <c r="A943" s="437" t="s">
        <v>2427</v>
      </c>
      <c r="B943" s="435"/>
      <c r="D943" s="434" t="s">
        <v>4246</v>
      </c>
      <c r="E943" s="435" t="s">
        <v>4247</v>
      </c>
      <c r="G943" s="434" t="s">
        <v>7158</v>
      </c>
      <c r="H943" s="435" t="s">
        <v>7159</v>
      </c>
    </row>
    <row r="944" spans="1:8">
      <c r="A944" s="437" t="s">
        <v>2428</v>
      </c>
      <c r="B944" s="435"/>
      <c r="D944" s="437" t="s">
        <v>4248</v>
      </c>
      <c r="E944" s="435"/>
      <c r="G944" s="434" t="s">
        <v>7160</v>
      </c>
      <c r="H944" s="435" t="s">
        <v>7161</v>
      </c>
    </row>
    <row r="945" spans="1:8">
      <c r="A945" s="437" t="s">
        <v>2429</v>
      </c>
      <c r="B945" s="435"/>
      <c r="D945" s="437" t="s">
        <v>4249</v>
      </c>
      <c r="E945" s="435"/>
      <c r="G945" s="437" t="s">
        <v>7162</v>
      </c>
      <c r="H945" s="435"/>
    </row>
    <row r="946" spans="1:8">
      <c r="A946" s="437" t="s">
        <v>2430</v>
      </c>
      <c r="B946" s="435"/>
      <c r="D946" s="434" t="s">
        <v>4250</v>
      </c>
      <c r="E946" s="435" t="s">
        <v>4251</v>
      </c>
      <c r="G946" s="434" t="s">
        <v>7169</v>
      </c>
      <c r="H946" s="435" t="s">
        <v>7170</v>
      </c>
    </row>
    <row r="947" spans="1:8">
      <c r="A947" s="437" t="s">
        <v>2431</v>
      </c>
      <c r="B947" s="435"/>
      <c r="D947" s="434" t="s">
        <v>4252</v>
      </c>
      <c r="E947" s="435" t="s">
        <v>4251</v>
      </c>
      <c r="G947" s="434" t="s">
        <v>7171</v>
      </c>
      <c r="H947" s="435" t="s">
        <v>7170</v>
      </c>
    </row>
    <row r="948" spans="1:8">
      <c r="A948" s="437" t="s">
        <v>2432</v>
      </c>
      <c r="B948" s="435"/>
      <c r="D948" s="437" t="s">
        <v>4253</v>
      </c>
      <c r="E948" s="435"/>
      <c r="G948" s="437" t="s">
        <v>7172</v>
      </c>
      <c r="H948" s="435"/>
    </row>
    <row r="949" spans="1:8">
      <c r="A949" s="437" t="s">
        <v>2433</v>
      </c>
      <c r="B949" s="435"/>
      <c r="D949" s="437" t="s">
        <v>4254</v>
      </c>
      <c r="E949" s="435"/>
      <c r="G949" s="434" t="s">
        <v>7173</v>
      </c>
      <c r="H949" s="435" t="s">
        <v>7170</v>
      </c>
    </row>
    <row r="950" spans="1:8">
      <c r="A950" s="437" t="s">
        <v>2434</v>
      </c>
      <c r="B950" s="435"/>
      <c r="D950" s="434" t="s">
        <v>4255</v>
      </c>
      <c r="E950" s="435" t="s">
        <v>4256</v>
      </c>
      <c r="G950" s="437" t="s">
        <v>7174</v>
      </c>
      <c r="H950" s="435"/>
    </row>
    <row r="951" spans="1:8">
      <c r="A951" s="437" t="s">
        <v>2435</v>
      </c>
      <c r="B951" s="435"/>
      <c r="D951" s="437" t="s">
        <v>4257</v>
      </c>
      <c r="E951" s="435"/>
      <c r="G951" s="437" t="s">
        <v>7175</v>
      </c>
      <c r="H951" s="435"/>
    </row>
    <row r="952" spans="1:8">
      <c r="A952" s="437" t="s">
        <v>2436</v>
      </c>
      <c r="B952" s="435"/>
      <c r="D952" s="437" t="s">
        <v>4258</v>
      </c>
      <c r="E952" s="435"/>
      <c r="G952" s="437" t="s">
        <v>7176</v>
      </c>
      <c r="H952" s="435"/>
    </row>
    <row r="953" spans="1:8">
      <c r="A953" s="437" t="s">
        <v>2437</v>
      </c>
      <c r="B953" s="435"/>
      <c r="D953" s="437" t="s">
        <v>4258</v>
      </c>
      <c r="E953" s="435"/>
      <c r="G953" s="434" t="s">
        <v>7177</v>
      </c>
      <c r="H953" s="435" t="s">
        <v>7178</v>
      </c>
    </row>
    <row r="954" spans="1:8">
      <c r="A954" s="437" t="s">
        <v>2438</v>
      </c>
      <c r="B954" s="435"/>
      <c r="D954" s="434" t="s">
        <v>4259</v>
      </c>
      <c r="E954" s="435" t="s">
        <v>4260</v>
      </c>
      <c r="G954" s="434" t="s">
        <v>7179</v>
      </c>
      <c r="H954" s="435" t="s">
        <v>7178</v>
      </c>
    </row>
    <row r="955" spans="1:8">
      <c r="A955" s="437" t="s">
        <v>2439</v>
      </c>
      <c r="B955" s="435"/>
      <c r="D955" s="434" t="s">
        <v>4261</v>
      </c>
      <c r="E955" s="435" t="s">
        <v>4260</v>
      </c>
      <c r="G955" s="434" t="s">
        <v>10096</v>
      </c>
      <c r="H955" s="435" t="s">
        <v>10097</v>
      </c>
    </row>
    <row r="956" spans="1:8">
      <c r="A956" s="437" t="s">
        <v>2440</v>
      </c>
      <c r="B956" s="435"/>
      <c r="D956" s="434" t="s">
        <v>882</v>
      </c>
      <c r="E956" s="435" t="s">
        <v>4262</v>
      </c>
      <c r="G956" s="437" t="s">
        <v>10098</v>
      </c>
      <c r="H956" s="435"/>
    </row>
    <row r="957" spans="1:8">
      <c r="A957" s="437" t="s">
        <v>2441</v>
      </c>
      <c r="B957" s="435"/>
      <c r="D957" s="434" t="s">
        <v>4263</v>
      </c>
      <c r="E957" s="435" t="s">
        <v>4262</v>
      </c>
      <c r="G957" s="437" t="s">
        <v>10099</v>
      </c>
      <c r="H957" s="435"/>
    </row>
    <row r="958" spans="1:8">
      <c r="A958" s="437" t="s">
        <v>2442</v>
      </c>
      <c r="B958" s="435"/>
      <c r="D958" s="437" t="s">
        <v>4264</v>
      </c>
      <c r="E958" s="435"/>
      <c r="G958" s="437" t="s">
        <v>10100</v>
      </c>
      <c r="H958" s="435"/>
    </row>
    <row r="959" spans="1:8">
      <c r="A959" s="437" t="s">
        <v>2443</v>
      </c>
      <c r="B959" s="435"/>
      <c r="D959" s="437" t="s">
        <v>4265</v>
      </c>
      <c r="E959" s="435"/>
      <c r="G959" s="437" t="s">
        <v>10101</v>
      </c>
      <c r="H959" s="435"/>
    </row>
    <row r="960" spans="1:8">
      <c r="A960" s="434" t="s">
        <v>85</v>
      </c>
      <c r="B960" s="435" t="s">
        <v>2444</v>
      </c>
      <c r="D960" s="437" t="s">
        <v>4266</v>
      </c>
      <c r="E960" s="435"/>
      <c r="G960" s="437" t="s">
        <v>10102</v>
      </c>
      <c r="H960" s="435"/>
    </row>
    <row r="961" spans="1:8">
      <c r="A961" s="437" t="s">
        <v>2445</v>
      </c>
      <c r="B961" s="435"/>
      <c r="D961" s="437" t="s">
        <v>4267</v>
      </c>
      <c r="E961" s="435"/>
      <c r="G961" s="437" t="s">
        <v>10103</v>
      </c>
      <c r="H961" s="435"/>
    </row>
    <row r="962" spans="1:8">
      <c r="A962" s="437" t="s">
        <v>2446</v>
      </c>
      <c r="B962" s="435"/>
      <c r="D962" s="437" t="s">
        <v>4268</v>
      </c>
      <c r="E962" s="435"/>
      <c r="G962" s="434" t="s">
        <v>2864</v>
      </c>
      <c r="H962" s="435" t="s">
        <v>2865</v>
      </c>
    </row>
    <row r="963" spans="1:8">
      <c r="A963" s="437" t="s">
        <v>2447</v>
      </c>
      <c r="B963" s="435"/>
      <c r="D963" s="437" t="s">
        <v>4269</v>
      </c>
      <c r="E963" s="435"/>
      <c r="G963" s="437" t="s">
        <v>2866</v>
      </c>
      <c r="H963" s="435"/>
    </row>
    <row r="964" spans="1:8">
      <c r="A964" s="437" t="s">
        <v>2448</v>
      </c>
      <c r="B964" s="435"/>
      <c r="D964" s="437" t="s">
        <v>4270</v>
      </c>
      <c r="E964" s="435"/>
      <c r="G964" s="437" t="s">
        <v>2867</v>
      </c>
      <c r="H964" s="435"/>
    </row>
    <row r="965" spans="1:8">
      <c r="A965" s="434" t="s">
        <v>858</v>
      </c>
      <c r="B965" s="435" t="s">
        <v>2397</v>
      </c>
      <c r="D965" s="437" t="s">
        <v>4271</v>
      </c>
      <c r="E965" s="435"/>
      <c r="G965" s="437" t="s">
        <v>2868</v>
      </c>
      <c r="H965" s="435"/>
    </row>
    <row r="966" spans="1:8">
      <c r="A966" s="434" t="s">
        <v>2449</v>
      </c>
      <c r="B966" s="435" t="s">
        <v>2397</v>
      </c>
      <c r="D966" s="437" t="s">
        <v>4272</v>
      </c>
      <c r="E966" s="435"/>
      <c r="G966" s="437" t="s">
        <v>2869</v>
      </c>
      <c r="H966" s="435"/>
    </row>
    <row r="967" spans="1:8">
      <c r="A967" s="437" t="s">
        <v>2450</v>
      </c>
      <c r="B967" s="435"/>
      <c r="D967" s="437" t="s">
        <v>4273</v>
      </c>
      <c r="E967" s="435"/>
      <c r="G967" s="437" t="s">
        <v>2870</v>
      </c>
      <c r="H967" s="435"/>
    </row>
    <row r="968" spans="1:8">
      <c r="A968" s="437" t="s">
        <v>2451</v>
      </c>
      <c r="B968" s="435"/>
      <c r="D968" s="437" t="s">
        <v>4274</v>
      </c>
      <c r="E968" s="435"/>
      <c r="G968" s="434" t="s">
        <v>10104</v>
      </c>
      <c r="H968" s="435" t="s">
        <v>10105</v>
      </c>
    </row>
    <row r="969" spans="1:8">
      <c r="A969" s="437" t="s">
        <v>2452</v>
      </c>
      <c r="B969" s="435"/>
      <c r="D969" s="437" t="s">
        <v>4275</v>
      </c>
      <c r="E969" s="435"/>
      <c r="G969" s="434" t="s">
        <v>10106</v>
      </c>
      <c r="H969" s="435" t="s">
        <v>10107</v>
      </c>
    </row>
    <row r="970" spans="1:8">
      <c r="A970" s="437" t="s">
        <v>2453</v>
      </c>
      <c r="B970" s="435"/>
      <c r="D970" s="437" t="s">
        <v>4276</v>
      </c>
      <c r="E970" s="435"/>
      <c r="G970" s="437" t="s">
        <v>10108</v>
      </c>
      <c r="H970" s="435"/>
    </row>
    <row r="971" spans="1:8">
      <c r="A971" s="437" t="s">
        <v>2454</v>
      </c>
      <c r="B971" s="435"/>
      <c r="D971" s="437" t="s">
        <v>4277</v>
      </c>
      <c r="E971" s="435"/>
      <c r="G971" s="437" t="s">
        <v>10109</v>
      </c>
      <c r="H971" s="435"/>
    </row>
    <row r="972" spans="1:8">
      <c r="A972" s="437" t="s">
        <v>2455</v>
      </c>
      <c r="B972" s="435"/>
      <c r="D972" s="437" t="s">
        <v>4278</v>
      </c>
      <c r="E972" s="435"/>
      <c r="G972" s="434" t="s">
        <v>10110</v>
      </c>
      <c r="H972" s="435" t="s">
        <v>10105</v>
      </c>
    </row>
    <row r="973" spans="1:8">
      <c r="A973" s="437" t="s">
        <v>2456</v>
      </c>
      <c r="B973" s="435"/>
      <c r="D973" s="437" t="s">
        <v>4279</v>
      </c>
      <c r="E973" s="435"/>
      <c r="G973" s="437" t="s">
        <v>10111</v>
      </c>
      <c r="H973" s="435"/>
    </row>
    <row r="974" spans="1:8">
      <c r="A974" s="437" t="s">
        <v>2457</v>
      </c>
      <c r="B974" s="435"/>
      <c r="D974" s="437" t="s">
        <v>4280</v>
      </c>
      <c r="E974" s="435"/>
      <c r="G974" s="437" t="s">
        <v>10112</v>
      </c>
      <c r="H974" s="435"/>
    </row>
    <row r="975" spans="1:8">
      <c r="A975" s="437" t="s">
        <v>2458</v>
      </c>
      <c r="B975" s="435"/>
      <c r="D975" s="437" t="s">
        <v>4281</v>
      </c>
      <c r="E975" s="435"/>
      <c r="G975" s="437" t="s">
        <v>10113</v>
      </c>
      <c r="H975" s="435"/>
    </row>
    <row r="976" spans="1:8">
      <c r="A976" s="437" t="s">
        <v>2459</v>
      </c>
      <c r="B976" s="435"/>
      <c r="D976" s="437" t="s">
        <v>4282</v>
      </c>
      <c r="E976" s="435"/>
      <c r="G976" s="437" t="s">
        <v>10114</v>
      </c>
      <c r="H976" s="435"/>
    </row>
    <row r="977" spans="1:8">
      <c r="A977" s="437" t="s">
        <v>2460</v>
      </c>
      <c r="B977" s="435"/>
      <c r="D977" s="437" t="s">
        <v>4283</v>
      </c>
      <c r="E977" s="435"/>
      <c r="G977" s="437" t="s">
        <v>10115</v>
      </c>
      <c r="H977" s="435"/>
    </row>
    <row r="978" spans="1:8">
      <c r="A978" s="434" t="s">
        <v>2461</v>
      </c>
      <c r="B978" s="435" t="s">
        <v>2462</v>
      </c>
      <c r="D978" s="437" t="s">
        <v>4284</v>
      </c>
      <c r="E978" s="435"/>
      <c r="G978" s="437" t="s">
        <v>10116</v>
      </c>
      <c r="H978" s="435"/>
    </row>
    <row r="979" spans="1:8">
      <c r="A979" s="437" t="s">
        <v>2463</v>
      </c>
      <c r="B979" s="435"/>
      <c r="D979" s="434" t="s">
        <v>4285</v>
      </c>
      <c r="E979" s="435" t="s">
        <v>4286</v>
      </c>
      <c r="G979" s="434" t="s">
        <v>10117</v>
      </c>
      <c r="H979" s="435" t="s">
        <v>10118</v>
      </c>
    </row>
    <row r="980" spans="1:8">
      <c r="A980" s="437" t="s">
        <v>2464</v>
      </c>
      <c r="B980" s="435"/>
      <c r="D980" s="434" t="s">
        <v>4287</v>
      </c>
      <c r="E980" s="435" t="s">
        <v>4286</v>
      </c>
      <c r="G980" s="437" t="s">
        <v>10119</v>
      </c>
      <c r="H980" s="435"/>
    </row>
    <row r="981" spans="1:8">
      <c r="A981" s="434" t="s">
        <v>2465</v>
      </c>
      <c r="B981" s="435" t="s">
        <v>2466</v>
      </c>
      <c r="D981" s="437" t="s">
        <v>4288</v>
      </c>
      <c r="E981" s="435"/>
      <c r="G981" s="434" t="s">
        <v>10120</v>
      </c>
      <c r="H981" s="435" t="s">
        <v>10121</v>
      </c>
    </row>
    <row r="982" spans="1:8">
      <c r="A982" s="434" t="s">
        <v>2467</v>
      </c>
      <c r="B982" s="435" t="s">
        <v>2468</v>
      </c>
      <c r="D982" s="434" t="s">
        <v>4289</v>
      </c>
      <c r="E982" s="435" t="s">
        <v>4290</v>
      </c>
      <c r="G982" s="437" t="s">
        <v>10122</v>
      </c>
      <c r="H982" s="435"/>
    </row>
    <row r="983" spans="1:8">
      <c r="A983" s="437" t="s">
        <v>2469</v>
      </c>
      <c r="B983" s="435"/>
      <c r="D983" s="437" t="s">
        <v>4291</v>
      </c>
      <c r="E983" s="435"/>
      <c r="G983" s="434" t="s">
        <v>7357</v>
      </c>
      <c r="H983" s="435" t="s">
        <v>7358</v>
      </c>
    </row>
    <row r="984" spans="1:8">
      <c r="A984" s="434" t="s">
        <v>2470</v>
      </c>
      <c r="B984" s="435" t="s">
        <v>2471</v>
      </c>
      <c r="D984" s="434" t="s">
        <v>4292</v>
      </c>
      <c r="E984" s="435" t="s">
        <v>4293</v>
      </c>
      <c r="G984" s="434" t="s">
        <v>7359</v>
      </c>
      <c r="H984" s="435" t="s">
        <v>7358</v>
      </c>
    </row>
    <row r="985" spans="1:8">
      <c r="A985" s="437" t="s">
        <v>2472</v>
      </c>
      <c r="B985" s="435"/>
      <c r="D985" s="437" t="s">
        <v>4294</v>
      </c>
      <c r="E985" s="435"/>
      <c r="G985" s="434" t="s">
        <v>7390</v>
      </c>
      <c r="H985" s="435" t="s">
        <v>7391</v>
      </c>
    </row>
    <row r="986" spans="1:8">
      <c r="A986" s="434" t="s">
        <v>2473</v>
      </c>
      <c r="B986" s="435" t="s">
        <v>2474</v>
      </c>
      <c r="D986" s="437" t="s">
        <v>4295</v>
      </c>
      <c r="E986" s="435"/>
      <c r="G986" s="437" t="s">
        <v>7392</v>
      </c>
      <c r="H986" s="435"/>
    </row>
    <row r="987" spans="1:8">
      <c r="A987" s="434" t="s">
        <v>2475</v>
      </c>
      <c r="B987" s="435" t="s">
        <v>2474</v>
      </c>
      <c r="D987" s="437" t="s">
        <v>4296</v>
      </c>
      <c r="E987" s="435"/>
      <c r="G987" s="437" t="s">
        <v>7393</v>
      </c>
      <c r="H987" s="435"/>
    </row>
    <row r="988" spans="1:8">
      <c r="A988" s="437" t="s">
        <v>2476</v>
      </c>
      <c r="B988" s="435"/>
      <c r="D988" s="437" t="s">
        <v>4297</v>
      </c>
      <c r="E988" s="435"/>
      <c r="G988" s="434" t="s">
        <v>10123</v>
      </c>
      <c r="H988" s="435" t="s">
        <v>10124</v>
      </c>
    </row>
    <row r="989" spans="1:8">
      <c r="A989" s="437" t="s">
        <v>2477</v>
      </c>
      <c r="B989" s="435"/>
      <c r="D989" s="437" t="s">
        <v>4298</v>
      </c>
      <c r="E989" s="435"/>
      <c r="G989" s="434" t="s">
        <v>10125</v>
      </c>
      <c r="H989" s="435" t="s">
        <v>10124</v>
      </c>
    </row>
    <row r="990" spans="1:8">
      <c r="A990" s="434" t="s">
        <v>2478</v>
      </c>
      <c r="B990" s="435" t="s">
        <v>2479</v>
      </c>
      <c r="D990" s="434" t="s">
        <v>4299</v>
      </c>
      <c r="E990" s="435" t="s">
        <v>4300</v>
      </c>
      <c r="G990" s="437" t="s">
        <v>10126</v>
      </c>
      <c r="H990" s="435"/>
    </row>
    <row r="991" spans="1:8">
      <c r="A991" s="434" t="s">
        <v>2480</v>
      </c>
      <c r="B991" s="435" t="s">
        <v>2479</v>
      </c>
      <c r="D991" s="437" t="s">
        <v>4301</v>
      </c>
      <c r="E991" s="435"/>
      <c r="G991" s="437" t="s">
        <v>10127</v>
      </c>
      <c r="H991" s="435"/>
    </row>
    <row r="992" spans="1:8">
      <c r="A992" s="437" t="s">
        <v>2481</v>
      </c>
      <c r="B992" s="435"/>
      <c r="D992" s="437" t="s">
        <v>4302</v>
      </c>
      <c r="E992" s="435"/>
      <c r="G992" s="437" t="s">
        <v>10128</v>
      </c>
      <c r="H992" s="435"/>
    </row>
    <row r="993" spans="1:8">
      <c r="A993" s="437" t="s">
        <v>2482</v>
      </c>
      <c r="B993" s="435"/>
      <c r="D993" s="437" t="s">
        <v>4303</v>
      </c>
      <c r="E993" s="435"/>
      <c r="G993" s="437" t="s">
        <v>10129</v>
      </c>
      <c r="H993" s="435"/>
    </row>
    <row r="994" spans="1:8">
      <c r="A994" s="437" t="s">
        <v>2483</v>
      </c>
      <c r="B994" s="435"/>
      <c r="D994" s="437" t="s">
        <v>4304</v>
      </c>
      <c r="E994" s="435"/>
      <c r="G994" s="437" t="s">
        <v>10130</v>
      </c>
      <c r="H994" s="435"/>
    </row>
    <row r="995" spans="1:8">
      <c r="A995" s="437" t="s">
        <v>2484</v>
      </c>
      <c r="B995" s="435"/>
      <c r="D995" s="437" t="s">
        <v>4305</v>
      </c>
      <c r="E995" s="435"/>
      <c r="G995" s="437" t="s">
        <v>10131</v>
      </c>
      <c r="H995" s="435"/>
    </row>
    <row r="996" spans="1:8">
      <c r="A996" s="434" t="s">
        <v>2485</v>
      </c>
      <c r="B996" s="435" t="s">
        <v>2486</v>
      </c>
      <c r="D996" s="437" t="s">
        <v>4306</v>
      </c>
      <c r="E996" s="435"/>
      <c r="G996" s="437" t="s">
        <v>10132</v>
      </c>
      <c r="H996" s="435"/>
    </row>
    <row r="997" spans="1:8">
      <c r="A997" s="437" t="s">
        <v>2487</v>
      </c>
      <c r="B997" s="435"/>
      <c r="D997" s="437" t="s">
        <v>4307</v>
      </c>
      <c r="E997" s="435"/>
      <c r="G997" s="437" t="s">
        <v>10133</v>
      </c>
      <c r="H997" s="435"/>
    </row>
    <row r="998" spans="1:8">
      <c r="A998" s="437" t="s">
        <v>2488</v>
      </c>
      <c r="B998" s="435"/>
      <c r="D998" s="437" t="s">
        <v>4308</v>
      </c>
      <c r="E998" s="435"/>
      <c r="G998" s="437" t="s">
        <v>10134</v>
      </c>
      <c r="H998" s="435"/>
    </row>
    <row r="999" spans="1:8">
      <c r="A999" s="437" t="s">
        <v>2489</v>
      </c>
      <c r="B999" s="435"/>
      <c r="D999" s="437" t="s">
        <v>4309</v>
      </c>
      <c r="E999" s="435"/>
      <c r="G999" s="437" t="s">
        <v>10135</v>
      </c>
      <c r="H999" s="435"/>
    </row>
    <row r="1000" spans="1:8">
      <c r="A1000" s="437" t="s">
        <v>2490</v>
      </c>
      <c r="B1000" s="435"/>
      <c r="D1000" s="437" t="s">
        <v>4310</v>
      </c>
      <c r="E1000" s="435"/>
      <c r="G1000" s="437" t="s">
        <v>10136</v>
      </c>
      <c r="H1000" s="435"/>
    </row>
    <row r="1001" spans="1:8">
      <c r="A1001" s="437" t="s">
        <v>2491</v>
      </c>
      <c r="B1001" s="435"/>
      <c r="D1001" s="434" t="s">
        <v>4311</v>
      </c>
      <c r="E1001" s="435" t="s">
        <v>4312</v>
      </c>
      <c r="G1001" s="434" t="s">
        <v>10137</v>
      </c>
      <c r="H1001" s="435" t="s">
        <v>10138</v>
      </c>
    </row>
    <row r="1002" spans="1:8">
      <c r="A1002" s="434" t="s">
        <v>86</v>
      </c>
      <c r="B1002" s="435" t="s">
        <v>2492</v>
      </c>
      <c r="D1002" s="437" t="s">
        <v>4292</v>
      </c>
      <c r="E1002" s="435"/>
      <c r="G1002" s="437" t="s">
        <v>10139</v>
      </c>
      <c r="H1002" s="435"/>
    </row>
    <row r="1003" spans="1:8">
      <c r="A1003" s="437" t="s">
        <v>2493</v>
      </c>
      <c r="B1003" s="435"/>
      <c r="D1003" s="437" t="s">
        <v>4313</v>
      </c>
      <c r="E1003" s="435"/>
      <c r="G1003" s="437" t="s">
        <v>10140</v>
      </c>
      <c r="H1003" s="435"/>
    </row>
    <row r="1004" spans="1:8">
      <c r="A1004" s="437" t="s">
        <v>2494</v>
      </c>
      <c r="B1004" s="435"/>
      <c r="D1004" s="437" t="s">
        <v>4297</v>
      </c>
      <c r="E1004" s="435"/>
      <c r="G1004" s="437" t="s">
        <v>10141</v>
      </c>
      <c r="H1004" s="435"/>
    </row>
    <row r="1005" spans="1:8">
      <c r="A1005" s="434" t="s">
        <v>11</v>
      </c>
      <c r="B1005" s="435" t="s">
        <v>2495</v>
      </c>
      <c r="D1005" s="437" t="s">
        <v>4314</v>
      </c>
      <c r="E1005" s="435"/>
      <c r="G1005" s="437" t="s">
        <v>10142</v>
      </c>
      <c r="H1005" s="435"/>
    </row>
    <row r="1006" spans="1:8">
      <c r="A1006" s="437" t="s">
        <v>2496</v>
      </c>
      <c r="B1006" s="435"/>
      <c r="D1006" s="437" t="s">
        <v>4315</v>
      </c>
      <c r="E1006" s="435"/>
      <c r="G1006" s="437" t="s">
        <v>10143</v>
      </c>
      <c r="H1006" s="435"/>
    </row>
    <row r="1007" spans="1:8">
      <c r="A1007" s="437" t="s">
        <v>2497</v>
      </c>
      <c r="B1007" s="435"/>
      <c r="D1007" s="434" t="s">
        <v>4316</v>
      </c>
      <c r="E1007" s="435" t="s">
        <v>4317</v>
      </c>
      <c r="G1007" s="434" t="s">
        <v>10144</v>
      </c>
      <c r="H1007" s="435" t="s">
        <v>10145</v>
      </c>
    </row>
    <row r="1008" spans="1:8">
      <c r="A1008" s="437" t="s">
        <v>2498</v>
      </c>
      <c r="B1008" s="435"/>
      <c r="D1008" s="437" t="s">
        <v>4318</v>
      </c>
      <c r="E1008" s="435"/>
      <c r="G1008" s="434" t="s">
        <v>10146</v>
      </c>
      <c r="H1008" s="435" t="s">
        <v>10145</v>
      </c>
    </row>
    <row r="1009" spans="1:8">
      <c r="A1009" s="434" t="s">
        <v>2499</v>
      </c>
      <c r="B1009" s="435" t="s">
        <v>2500</v>
      </c>
      <c r="D1009" s="437" t="s">
        <v>4319</v>
      </c>
      <c r="E1009" s="435"/>
      <c r="G1009" s="437" t="s">
        <v>10147</v>
      </c>
      <c r="H1009" s="435"/>
    </row>
    <row r="1010" spans="1:8">
      <c r="A1010" s="434" t="s">
        <v>2501</v>
      </c>
      <c r="B1010" s="435" t="s">
        <v>2500</v>
      </c>
      <c r="D1010" s="434" t="s">
        <v>4320</v>
      </c>
      <c r="E1010" s="435" t="s">
        <v>4321</v>
      </c>
      <c r="G1010" s="437" t="s">
        <v>10148</v>
      </c>
      <c r="H1010" s="435"/>
    </row>
    <row r="1011" spans="1:8">
      <c r="A1011" s="437" t="s">
        <v>2502</v>
      </c>
      <c r="B1011" s="435"/>
      <c r="D1011" s="437" t="s">
        <v>4322</v>
      </c>
      <c r="E1011" s="435"/>
      <c r="G1011" s="437" t="s">
        <v>10149</v>
      </c>
      <c r="H1011" s="435"/>
    </row>
    <row r="1012" spans="1:8">
      <c r="A1012" s="437" t="s">
        <v>2503</v>
      </c>
      <c r="B1012" s="435"/>
      <c r="D1012" s="434" t="s">
        <v>4323</v>
      </c>
      <c r="E1012" s="435" t="s">
        <v>4324</v>
      </c>
      <c r="G1012" s="437" t="s">
        <v>10150</v>
      </c>
      <c r="H1012" s="435"/>
    </row>
    <row r="1013" spans="1:8">
      <c r="A1013" s="437" t="s">
        <v>2504</v>
      </c>
      <c r="B1013" s="435"/>
      <c r="D1013" s="434" t="s">
        <v>4325</v>
      </c>
      <c r="E1013" s="435" t="s">
        <v>4324</v>
      </c>
      <c r="G1013" s="437" t="s">
        <v>10151</v>
      </c>
      <c r="H1013" s="435"/>
    </row>
    <row r="1014" spans="1:8">
      <c r="A1014" s="437" t="s">
        <v>2505</v>
      </c>
      <c r="B1014" s="435"/>
      <c r="D1014" s="437" t="s">
        <v>4326</v>
      </c>
      <c r="E1014" s="435"/>
      <c r="G1014" s="437" t="s">
        <v>10152</v>
      </c>
      <c r="H1014" s="435"/>
    </row>
    <row r="1015" spans="1:8">
      <c r="A1015" s="437" t="s">
        <v>2506</v>
      </c>
      <c r="B1015" s="435"/>
      <c r="D1015" s="437" t="s">
        <v>4327</v>
      </c>
      <c r="E1015" s="435"/>
      <c r="G1015" s="437" t="s">
        <v>10153</v>
      </c>
      <c r="H1015" s="435"/>
    </row>
    <row r="1016" spans="1:8">
      <c r="A1016" s="437" t="s">
        <v>2507</v>
      </c>
      <c r="B1016" s="435"/>
      <c r="D1016" s="437" t="s">
        <v>4328</v>
      </c>
      <c r="E1016" s="435"/>
      <c r="G1016" s="437" t="s">
        <v>10154</v>
      </c>
      <c r="H1016" s="435"/>
    </row>
    <row r="1017" spans="1:8">
      <c r="A1017" s="434" t="s">
        <v>2508</v>
      </c>
      <c r="B1017" s="435" t="s">
        <v>2509</v>
      </c>
      <c r="D1017" s="437" t="s">
        <v>4329</v>
      </c>
      <c r="E1017" s="435"/>
      <c r="G1017" s="437" t="s">
        <v>10155</v>
      </c>
      <c r="H1017" s="435"/>
    </row>
    <row r="1018" spans="1:8">
      <c r="A1018" s="434" t="s">
        <v>2510</v>
      </c>
      <c r="B1018" s="435" t="s">
        <v>2509</v>
      </c>
      <c r="D1018" s="434" t="s">
        <v>4330</v>
      </c>
      <c r="E1018" s="435" t="s">
        <v>4331</v>
      </c>
      <c r="G1018" s="437" t="s">
        <v>10156</v>
      </c>
      <c r="H1018" s="435"/>
    </row>
    <row r="1019" spans="1:8">
      <c r="A1019" s="434" t="s">
        <v>2511</v>
      </c>
      <c r="B1019" s="435" t="s">
        <v>2512</v>
      </c>
      <c r="D1019" s="437" t="s">
        <v>4332</v>
      </c>
      <c r="E1019" s="435"/>
      <c r="G1019" s="437" t="s">
        <v>10157</v>
      </c>
      <c r="H1019" s="435"/>
    </row>
    <row r="1020" spans="1:8">
      <c r="A1020" s="434" t="s">
        <v>2513</v>
      </c>
      <c r="B1020" s="435" t="s">
        <v>2514</v>
      </c>
      <c r="D1020" s="434" t="s">
        <v>4333</v>
      </c>
      <c r="E1020" s="435" t="s">
        <v>4334</v>
      </c>
      <c r="G1020" s="437" t="s">
        <v>10158</v>
      </c>
      <c r="H1020" s="435"/>
    </row>
    <row r="1021" spans="1:8">
      <c r="A1021" s="434" t="s">
        <v>2515</v>
      </c>
      <c r="B1021" s="435" t="s">
        <v>2516</v>
      </c>
      <c r="D1021" s="434" t="s">
        <v>4335</v>
      </c>
      <c r="E1021" s="435" t="s">
        <v>4334</v>
      </c>
      <c r="G1021" s="437" t="s">
        <v>10159</v>
      </c>
      <c r="H1021" s="435"/>
    </row>
    <row r="1022" spans="1:8">
      <c r="A1022" s="437" t="s">
        <v>2517</v>
      </c>
      <c r="B1022" s="435"/>
      <c r="D1022" s="437" t="s">
        <v>4336</v>
      </c>
      <c r="E1022" s="435"/>
      <c r="G1022" s="437" t="s">
        <v>10160</v>
      </c>
      <c r="H1022" s="435"/>
    </row>
    <row r="1023" spans="1:8">
      <c r="A1023" s="437" t="s">
        <v>2518</v>
      </c>
      <c r="B1023" s="435"/>
      <c r="D1023" s="437" t="s">
        <v>4337</v>
      </c>
      <c r="E1023" s="435"/>
      <c r="G1023" s="434" t="s">
        <v>10161</v>
      </c>
      <c r="H1023" s="435" t="s">
        <v>10162</v>
      </c>
    </row>
    <row r="1024" spans="1:8">
      <c r="A1024" s="434" t="s">
        <v>2519</v>
      </c>
      <c r="B1024" s="435" t="s">
        <v>2520</v>
      </c>
      <c r="D1024" s="437" t="s">
        <v>4338</v>
      </c>
      <c r="E1024" s="435"/>
      <c r="G1024" s="437" t="s">
        <v>10163</v>
      </c>
      <c r="H1024" s="435"/>
    </row>
    <row r="1025" spans="1:8">
      <c r="A1025" s="434" t="s">
        <v>2521</v>
      </c>
      <c r="B1025" s="435" t="s">
        <v>2520</v>
      </c>
      <c r="D1025" s="437" t="s">
        <v>4339</v>
      </c>
      <c r="E1025" s="435"/>
      <c r="G1025" s="437" t="s">
        <v>10164</v>
      </c>
      <c r="H1025" s="435"/>
    </row>
    <row r="1026" spans="1:8">
      <c r="A1026" s="437" t="s">
        <v>2522</v>
      </c>
      <c r="B1026" s="435"/>
      <c r="D1026" s="437" t="s">
        <v>4340</v>
      </c>
      <c r="E1026" s="435"/>
      <c r="G1026" s="437" t="s">
        <v>10165</v>
      </c>
      <c r="H1026" s="435"/>
    </row>
    <row r="1027" spans="1:8">
      <c r="A1027" s="437" t="s">
        <v>2523</v>
      </c>
      <c r="B1027" s="435"/>
      <c r="D1027" s="437" t="s">
        <v>4341</v>
      </c>
      <c r="E1027" s="435"/>
      <c r="G1027" s="437" t="s">
        <v>10166</v>
      </c>
      <c r="H1027" s="435"/>
    </row>
    <row r="1028" spans="1:8">
      <c r="A1028" s="437" t="s">
        <v>2524</v>
      </c>
      <c r="B1028" s="435"/>
      <c r="D1028" s="437" t="s">
        <v>4342</v>
      </c>
      <c r="E1028" s="435"/>
      <c r="G1028" s="437" t="s">
        <v>10167</v>
      </c>
      <c r="H1028" s="435"/>
    </row>
    <row r="1029" spans="1:8">
      <c r="A1029" s="437" t="s">
        <v>2525</v>
      </c>
      <c r="B1029" s="435"/>
      <c r="D1029" s="437" t="s">
        <v>4343</v>
      </c>
      <c r="E1029" s="435"/>
      <c r="G1029" s="437" t="s">
        <v>10168</v>
      </c>
      <c r="H1029" s="435"/>
    </row>
    <row r="1030" spans="1:8">
      <c r="A1030" s="437" t="s">
        <v>2526</v>
      </c>
      <c r="B1030" s="435"/>
      <c r="D1030" s="437" t="s">
        <v>4344</v>
      </c>
      <c r="E1030" s="435"/>
      <c r="G1030" s="437" t="s">
        <v>10169</v>
      </c>
      <c r="H1030" s="435"/>
    </row>
    <row r="1031" spans="1:8">
      <c r="A1031" s="437" t="s">
        <v>2527</v>
      </c>
      <c r="B1031" s="435"/>
      <c r="D1031" s="437" t="s">
        <v>4345</v>
      </c>
      <c r="E1031" s="435"/>
      <c r="G1031" s="437" t="s">
        <v>10170</v>
      </c>
      <c r="H1031" s="435"/>
    </row>
    <row r="1032" spans="1:8">
      <c r="A1032" s="437" t="s">
        <v>2528</v>
      </c>
      <c r="B1032" s="435"/>
      <c r="D1032" s="434" t="s">
        <v>4346</v>
      </c>
      <c r="E1032" s="435" t="s">
        <v>4347</v>
      </c>
      <c r="G1032" s="434" t="s">
        <v>10171</v>
      </c>
      <c r="H1032" s="435" t="s">
        <v>10172</v>
      </c>
    </row>
    <row r="1033" spans="1:8">
      <c r="A1033" s="434" t="s">
        <v>2529</v>
      </c>
      <c r="B1033" s="435" t="s">
        <v>2530</v>
      </c>
      <c r="D1033" s="434" t="s">
        <v>4348</v>
      </c>
      <c r="E1033" s="435" t="s">
        <v>4349</v>
      </c>
      <c r="G1033" s="437" t="s">
        <v>10173</v>
      </c>
      <c r="H1033" s="435"/>
    </row>
    <row r="1034" spans="1:8">
      <c r="A1034" s="434" t="s">
        <v>2531</v>
      </c>
      <c r="B1034" s="435" t="s">
        <v>2530</v>
      </c>
      <c r="D1034" s="437" t="s">
        <v>4350</v>
      </c>
      <c r="E1034" s="435"/>
      <c r="G1034" s="437" t="s">
        <v>10174</v>
      </c>
      <c r="H1034" s="435"/>
    </row>
    <row r="1035" spans="1:8">
      <c r="A1035" s="437" t="s">
        <v>2532</v>
      </c>
      <c r="B1035" s="435"/>
      <c r="D1035" s="437" t="s">
        <v>4351</v>
      </c>
      <c r="E1035" s="435"/>
      <c r="G1035" s="437" t="s">
        <v>10175</v>
      </c>
      <c r="H1035" s="435"/>
    </row>
    <row r="1036" spans="1:8">
      <c r="A1036" s="437" t="s">
        <v>2533</v>
      </c>
      <c r="B1036" s="435"/>
      <c r="D1036" s="437" t="s">
        <v>4352</v>
      </c>
      <c r="E1036" s="435"/>
      <c r="G1036" s="434" t="s">
        <v>10176</v>
      </c>
      <c r="H1036" s="435" t="s">
        <v>10177</v>
      </c>
    </row>
    <row r="1037" spans="1:8">
      <c r="A1037" s="437" t="s">
        <v>2534</v>
      </c>
      <c r="B1037" s="435"/>
      <c r="D1037" s="437" t="s">
        <v>4353</v>
      </c>
      <c r="E1037" s="435"/>
      <c r="G1037" s="437" t="s">
        <v>10178</v>
      </c>
      <c r="H1037" s="435"/>
    </row>
    <row r="1038" spans="1:8">
      <c r="A1038" s="437" t="s">
        <v>2535</v>
      </c>
      <c r="B1038" s="435"/>
      <c r="D1038" s="437" t="s">
        <v>4354</v>
      </c>
      <c r="E1038" s="435"/>
      <c r="G1038" s="437" t="s">
        <v>10179</v>
      </c>
      <c r="H1038" s="435"/>
    </row>
    <row r="1039" spans="1:8">
      <c r="A1039" s="434" t="s">
        <v>87</v>
      </c>
      <c r="B1039" s="435" t="s">
        <v>2536</v>
      </c>
      <c r="D1039" s="437" t="s">
        <v>4355</v>
      </c>
      <c r="E1039" s="435"/>
      <c r="G1039" s="437" t="s">
        <v>10180</v>
      </c>
      <c r="H1039" s="435"/>
    </row>
    <row r="1040" spans="1:8">
      <c r="A1040" s="437" t="s">
        <v>2537</v>
      </c>
      <c r="B1040" s="435"/>
      <c r="D1040" s="437" t="s">
        <v>4356</v>
      </c>
      <c r="E1040" s="435"/>
      <c r="G1040" s="437" t="s">
        <v>10181</v>
      </c>
      <c r="H1040" s="435"/>
    </row>
    <row r="1041" spans="1:8">
      <c r="A1041" s="434" t="s">
        <v>2538</v>
      </c>
      <c r="B1041" s="435" t="s">
        <v>2539</v>
      </c>
      <c r="D1041" s="437" t="s">
        <v>4357</v>
      </c>
      <c r="E1041" s="435"/>
      <c r="G1041" s="437" t="s">
        <v>10182</v>
      </c>
      <c r="H1041" s="435"/>
    </row>
    <row r="1042" spans="1:8">
      <c r="A1042" s="437" t="s">
        <v>2540</v>
      </c>
      <c r="B1042" s="435"/>
      <c r="D1042" s="437" t="s">
        <v>4358</v>
      </c>
      <c r="E1042" s="435"/>
      <c r="G1042" s="437" t="s">
        <v>10183</v>
      </c>
      <c r="H1042" s="435"/>
    </row>
    <row r="1043" spans="1:8">
      <c r="A1043" s="437" t="s">
        <v>2541</v>
      </c>
      <c r="B1043" s="435"/>
      <c r="D1043" s="434" t="s">
        <v>4359</v>
      </c>
      <c r="E1043" s="435" t="s">
        <v>4360</v>
      </c>
      <c r="G1043" s="434" t="s">
        <v>10184</v>
      </c>
      <c r="H1043" s="435"/>
    </row>
    <row r="1044" spans="1:8">
      <c r="A1044" s="437" t="s">
        <v>2542</v>
      </c>
      <c r="B1044" s="435"/>
      <c r="D1044" s="434" t="s">
        <v>4361</v>
      </c>
      <c r="E1044" s="435" t="s">
        <v>4360</v>
      </c>
      <c r="G1044" s="434" t="s">
        <v>10185</v>
      </c>
      <c r="H1044" s="435" t="s">
        <v>10186</v>
      </c>
    </row>
    <row r="1045" spans="1:8">
      <c r="A1045" s="434" t="s">
        <v>2543</v>
      </c>
      <c r="B1045" s="435" t="s">
        <v>2544</v>
      </c>
      <c r="D1045" s="434" t="s">
        <v>4362</v>
      </c>
      <c r="E1045" s="435" t="s">
        <v>4363</v>
      </c>
      <c r="G1045" s="437" t="s">
        <v>10187</v>
      </c>
      <c r="H1045" s="435"/>
    </row>
    <row r="1046" spans="1:8">
      <c r="A1046" s="434" t="s">
        <v>2545</v>
      </c>
      <c r="B1046" s="435" t="s">
        <v>2544</v>
      </c>
      <c r="D1046" s="434" t="s">
        <v>4364</v>
      </c>
      <c r="E1046" s="435" t="s">
        <v>4365</v>
      </c>
      <c r="G1046" s="437" t="s">
        <v>10188</v>
      </c>
      <c r="H1046" s="435"/>
    </row>
    <row r="1047" spans="1:8">
      <c r="A1047" s="437" t="s">
        <v>2546</v>
      </c>
      <c r="B1047" s="435"/>
      <c r="D1047" s="437" t="s">
        <v>4366</v>
      </c>
      <c r="E1047" s="435"/>
      <c r="G1047" s="437" t="s">
        <v>10189</v>
      </c>
      <c r="H1047" s="435"/>
    </row>
    <row r="1048" spans="1:8">
      <c r="A1048" s="434" t="s">
        <v>2547</v>
      </c>
      <c r="B1048" s="435" t="s">
        <v>2548</v>
      </c>
      <c r="D1048" s="437" t="s">
        <v>4367</v>
      </c>
      <c r="E1048" s="435"/>
      <c r="G1048" s="437" t="s">
        <v>10190</v>
      </c>
      <c r="H1048" s="435"/>
    </row>
    <row r="1049" spans="1:8">
      <c r="A1049" s="437" t="s">
        <v>2549</v>
      </c>
      <c r="B1049" s="435"/>
      <c r="D1049" s="437" t="s">
        <v>4368</v>
      </c>
      <c r="E1049" s="435"/>
      <c r="G1049" s="437" t="s">
        <v>10191</v>
      </c>
      <c r="H1049" s="435"/>
    </row>
    <row r="1050" spans="1:8">
      <c r="A1050" s="434" t="s">
        <v>88</v>
      </c>
      <c r="B1050" s="435" t="s">
        <v>2550</v>
      </c>
      <c r="D1050" s="434" t="s">
        <v>4369</v>
      </c>
      <c r="E1050" s="435" t="s">
        <v>4370</v>
      </c>
      <c r="G1050" s="437" t="s">
        <v>10192</v>
      </c>
      <c r="H1050" s="435"/>
    </row>
    <row r="1051" spans="1:8">
      <c r="A1051" s="434" t="s">
        <v>2551</v>
      </c>
      <c r="B1051" s="435" t="s">
        <v>2550</v>
      </c>
      <c r="D1051" s="437" t="s">
        <v>4371</v>
      </c>
      <c r="E1051" s="435"/>
      <c r="G1051" s="437" t="s">
        <v>10193</v>
      </c>
      <c r="H1051" s="435"/>
    </row>
    <row r="1052" spans="1:8">
      <c r="A1052" s="437" t="s">
        <v>2552</v>
      </c>
      <c r="B1052" s="435"/>
      <c r="D1052" s="437" t="s">
        <v>4372</v>
      </c>
      <c r="E1052" s="435"/>
      <c r="G1052" s="437" t="s">
        <v>10194</v>
      </c>
      <c r="H1052" s="435"/>
    </row>
    <row r="1053" spans="1:8">
      <c r="A1053" s="437" t="s">
        <v>2553</v>
      </c>
      <c r="B1053" s="435"/>
      <c r="D1053" s="437" t="s">
        <v>4373</v>
      </c>
      <c r="E1053" s="435"/>
      <c r="G1053" s="437" t="s">
        <v>10195</v>
      </c>
      <c r="H1053" s="435"/>
    </row>
    <row r="1054" spans="1:8">
      <c r="A1054" s="437" t="s">
        <v>2554</v>
      </c>
      <c r="B1054" s="435"/>
      <c r="D1054" s="437" t="s">
        <v>4374</v>
      </c>
      <c r="E1054" s="435"/>
      <c r="G1054" s="437" t="s">
        <v>10196</v>
      </c>
      <c r="H1054" s="435"/>
    </row>
    <row r="1055" spans="1:8">
      <c r="A1055" s="434" t="s">
        <v>2555</v>
      </c>
      <c r="B1055" s="435" t="s">
        <v>2556</v>
      </c>
      <c r="D1055" s="434" t="s">
        <v>4375</v>
      </c>
      <c r="E1055" s="435" t="s">
        <v>4376</v>
      </c>
      <c r="G1055" s="437" t="s">
        <v>10197</v>
      </c>
      <c r="H1055" s="435"/>
    </row>
    <row r="1056" spans="1:8">
      <c r="A1056" s="437" t="s">
        <v>2557</v>
      </c>
      <c r="B1056" s="435"/>
      <c r="D1056" s="434" t="s">
        <v>4377</v>
      </c>
      <c r="E1056" s="435" t="s">
        <v>4376</v>
      </c>
      <c r="G1056" s="434" t="s">
        <v>7664</v>
      </c>
      <c r="H1056" s="435" t="s">
        <v>7665</v>
      </c>
    </row>
    <row r="1057" spans="1:8">
      <c r="A1057" s="434" t="s">
        <v>89</v>
      </c>
      <c r="B1057" s="435" t="s">
        <v>2558</v>
      </c>
      <c r="D1057" s="437" t="s">
        <v>4378</v>
      </c>
      <c r="E1057" s="435"/>
      <c r="G1057" s="434" t="s">
        <v>7666</v>
      </c>
      <c r="H1057" s="435" t="s">
        <v>7665</v>
      </c>
    </row>
    <row r="1058" spans="1:8">
      <c r="A1058" s="437" t="s">
        <v>2559</v>
      </c>
      <c r="B1058" s="435"/>
      <c r="D1058" s="434" t="s">
        <v>4379</v>
      </c>
      <c r="E1058" s="435" t="s">
        <v>4380</v>
      </c>
      <c r="G1058" s="437" t="s">
        <v>7667</v>
      </c>
      <c r="H1058" s="435"/>
    </row>
    <row r="1059" spans="1:8">
      <c r="A1059" s="437" t="s">
        <v>2560</v>
      </c>
      <c r="B1059" s="435"/>
      <c r="D1059" s="437" t="s">
        <v>4381</v>
      </c>
      <c r="E1059" s="435"/>
      <c r="G1059" s="437" t="s">
        <v>7668</v>
      </c>
      <c r="H1059" s="435"/>
    </row>
    <row r="1060" spans="1:8">
      <c r="A1060" s="437" t="s">
        <v>2561</v>
      </c>
      <c r="B1060" s="435"/>
      <c r="D1060" s="437" t="s">
        <v>4382</v>
      </c>
      <c r="E1060" s="435"/>
      <c r="G1060" s="437" t="s">
        <v>7669</v>
      </c>
      <c r="H1060" s="435"/>
    </row>
    <row r="1061" spans="1:8">
      <c r="A1061" s="437" t="s">
        <v>2562</v>
      </c>
      <c r="B1061" s="435"/>
      <c r="D1061" s="437" t="s">
        <v>4368</v>
      </c>
      <c r="E1061" s="435"/>
      <c r="G1061" s="434" t="s">
        <v>10198</v>
      </c>
      <c r="H1061" s="435" t="s">
        <v>10199</v>
      </c>
    </row>
    <row r="1062" spans="1:8">
      <c r="A1062" s="437" t="s">
        <v>2563</v>
      </c>
      <c r="B1062" s="435"/>
      <c r="D1062" s="434" t="s">
        <v>4383</v>
      </c>
      <c r="E1062" s="435" t="s">
        <v>4384</v>
      </c>
      <c r="G1062" s="434" t="s">
        <v>10200</v>
      </c>
      <c r="H1062" s="435" t="s">
        <v>10201</v>
      </c>
    </row>
    <row r="1063" spans="1:8">
      <c r="A1063" s="437" t="s">
        <v>2564</v>
      </c>
      <c r="B1063" s="435"/>
      <c r="D1063" s="437" t="s">
        <v>4385</v>
      </c>
      <c r="E1063" s="435"/>
      <c r="G1063" s="437" t="s">
        <v>10202</v>
      </c>
      <c r="H1063" s="435"/>
    </row>
    <row r="1064" spans="1:8">
      <c r="A1064" s="434" t="s">
        <v>2565</v>
      </c>
      <c r="B1064" s="435" t="s">
        <v>2566</v>
      </c>
      <c r="D1064" s="437" t="s">
        <v>4386</v>
      </c>
      <c r="E1064" s="435"/>
      <c r="G1064" s="434" t="s">
        <v>10203</v>
      </c>
      <c r="H1064" s="435" t="s">
        <v>10204</v>
      </c>
    </row>
    <row r="1065" spans="1:8">
      <c r="A1065" s="434" t="s">
        <v>2567</v>
      </c>
      <c r="B1065" s="435" t="s">
        <v>2566</v>
      </c>
      <c r="D1065" s="437" t="s">
        <v>4387</v>
      </c>
      <c r="E1065" s="435"/>
      <c r="G1065" s="437" t="s">
        <v>10205</v>
      </c>
      <c r="H1065" s="435"/>
    </row>
    <row r="1066" spans="1:8">
      <c r="A1066" s="437" t="s">
        <v>2568</v>
      </c>
      <c r="B1066" s="435"/>
      <c r="D1066" s="437" t="s">
        <v>4388</v>
      </c>
      <c r="E1066" s="435"/>
      <c r="G1066" s="437" t="s">
        <v>10206</v>
      </c>
      <c r="H1066" s="435"/>
    </row>
    <row r="1067" spans="1:8">
      <c r="A1067" s="437" t="s">
        <v>2569</v>
      </c>
      <c r="B1067" s="435"/>
      <c r="D1067" s="434" t="s">
        <v>4389</v>
      </c>
      <c r="E1067" s="435" t="s">
        <v>4390</v>
      </c>
      <c r="G1067" s="437" t="s">
        <v>10207</v>
      </c>
      <c r="H1067" s="435"/>
    </row>
    <row r="1068" spans="1:8">
      <c r="A1068" s="437" t="s">
        <v>2570</v>
      </c>
      <c r="B1068" s="435"/>
      <c r="D1068" s="437" t="s">
        <v>4391</v>
      </c>
      <c r="E1068" s="435"/>
      <c r="G1068" s="437" t="s">
        <v>10208</v>
      </c>
      <c r="H1068" s="435"/>
    </row>
    <row r="1069" spans="1:8">
      <c r="A1069" s="434" t="s">
        <v>1086</v>
      </c>
      <c r="B1069" s="435" t="s">
        <v>2571</v>
      </c>
      <c r="D1069" s="434" t="s">
        <v>4392</v>
      </c>
      <c r="E1069" s="435" t="s">
        <v>4393</v>
      </c>
      <c r="G1069" s="437" t="s">
        <v>10209</v>
      </c>
      <c r="H1069" s="435"/>
    </row>
    <row r="1070" spans="1:8">
      <c r="A1070" s="437" t="s">
        <v>2572</v>
      </c>
      <c r="B1070" s="435"/>
      <c r="D1070" s="434" t="s">
        <v>4394</v>
      </c>
      <c r="E1070" s="435" t="s">
        <v>4395</v>
      </c>
      <c r="G1070" s="434" t="s">
        <v>10210</v>
      </c>
      <c r="H1070" s="435" t="s">
        <v>10211</v>
      </c>
    </row>
    <row r="1071" spans="1:8">
      <c r="A1071" s="434" t="s">
        <v>91</v>
      </c>
      <c r="B1071" s="435" t="s">
        <v>2573</v>
      </c>
      <c r="D1071" s="437" t="s">
        <v>4396</v>
      </c>
      <c r="E1071" s="435"/>
      <c r="G1071" s="437" t="s">
        <v>10212</v>
      </c>
      <c r="H1071" s="435"/>
    </row>
    <row r="1072" spans="1:8">
      <c r="A1072" s="434" t="s">
        <v>2574</v>
      </c>
      <c r="B1072" s="435" t="s">
        <v>2573</v>
      </c>
      <c r="D1072" s="434" t="s">
        <v>4397</v>
      </c>
      <c r="E1072" s="435" t="s">
        <v>4398</v>
      </c>
      <c r="G1072" s="434" t="s">
        <v>10213</v>
      </c>
      <c r="H1072" s="435" t="s">
        <v>10214</v>
      </c>
    </row>
    <row r="1073" spans="1:8">
      <c r="A1073" s="437" t="s">
        <v>2575</v>
      </c>
      <c r="B1073" s="435"/>
      <c r="D1073" s="437" t="s">
        <v>4399</v>
      </c>
      <c r="E1073" s="435"/>
      <c r="G1073" s="434" t="s">
        <v>10215</v>
      </c>
      <c r="H1073" s="435" t="s">
        <v>10214</v>
      </c>
    </row>
    <row r="1074" spans="1:8">
      <c r="A1074" s="437" t="s">
        <v>2576</v>
      </c>
      <c r="B1074" s="435"/>
      <c r="D1074" s="437" t="s">
        <v>4400</v>
      </c>
      <c r="E1074" s="435"/>
      <c r="G1074" s="437" t="s">
        <v>10216</v>
      </c>
      <c r="H1074" s="435"/>
    </row>
    <row r="1075" spans="1:8">
      <c r="A1075" s="434" t="s">
        <v>93</v>
      </c>
      <c r="B1075" s="435" t="s">
        <v>2577</v>
      </c>
      <c r="D1075" s="437" t="s">
        <v>4401</v>
      </c>
      <c r="E1075" s="435"/>
      <c r="G1075" s="434" t="s">
        <v>10217</v>
      </c>
      <c r="H1075" s="435" t="s">
        <v>10218</v>
      </c>
    </row>
    <row r="1076" spans="1:8">
      <c r="A1076" s="434" t="s">
        <v>2578</v>
      </c>
      <c r="B1076" s="435" t="s">
        <v>2577</v>
      </c>
      <c r="D1076" s="437" t="s">
        <v>4402</v>
      </c>
      <c r="E1076" s="435"/>
      <c r="G1076" s="434" t="s">
        <v>10219</v>
      </c>
      <c r="H1076" s="435" t="s">
        <v>10220</v>
      </c>
    </row>
    <row r="1077" spans="1:8">
      <c r="A1077" s="437" t="s">
        <v>2579</v>
      </c>
      <c r="B1077" s="435"/>
      <c r="D1077" s="434" t="s">
        <v>4403</v>
      </c>
      <c r="E1077" s="435" t="s">
        <v>4404</v>
      </c>
      <c r="G1077" s="437" t="s">
        <v>10221</v>
      </c>
      <c r="H1077" s="435"/>
    </row>
    <row r="1078" spans="1:8">
      <c r="A1078" s="434" t="s">
        <v>2580</v>
      </c>
      <c r="B1078" s="435" t="s">
        <v>2581</v>
      </c>
      <c r="D1078" s="434" t="s">
        <v>4405</v>
      </c>
      <c r="E1078" s="435" t="s">
        <v>4406</v>
      </c>
      <c r="G1078" s="437" t="s">
        <v>10222</v>
      </c>
      <c r="H1078" s="435"/>
    </row>
    <row r="1079" spans="1:8">
      <c r="A1079" s="437" t="s">
        <v>2582</v>
      </c>
      <c r="B1079" s="435"/>
      <c r="D1079" s="437" t="s">
        <v>4407</v>
      </c>
      <c r="E1079" s="435"/>
      <c r="G1079" s="437" t="s">
        <v>10223</v>
      </c>
      <c r="H1079" s="435"/>
    </row>
    <row r="1080" spans="1:8">
      <c r="A1080" s="437" t="s">
        <v>2583</v>
      </c>
      <c r="B1080" s="435"/>
      <c r="D1080" s="437" t="s">
        <v>4408</v>
      </c>
      <c r="E1080" s="435"/>
      <c r="G1080" s="434" t="s">
        <v>10224</v>
      </c>
      <c r="H1080" s="435" t="s">
        <v>10225</v>
      </c>
    </row>
    <row r="1081" spans="1:8">
      <c r="A1081" s="434" t="s">
        <v>2584</v>
      </c>
      <c r="B1081" s="435" t="s">
        <v>2585</v>
      </c>
      <c r="D1081" s="437" t="s">
        <v>4409</v>
      </c>
      <c r="E1081" s="435"/>
      <c r="G1081" s="437" t="s">
        <v>10226</v>
      </c>
      <c r="H1081" s="435"/>
    </row>
    <row r="1082" spans="1:8">
      <c r="A1082" s="434" t="s">
        <v>2586</v>
      </c>
      <c r="B1082" s="435" t="s">
        <v>2587</v>
      </c>
      <c r="D1082" s="434" t="s">
        <v>4410</v>
      </c>
      <c r="E1082" s="435" t="s">
        <v>4411</v>
      </c>
      <c r="G1082" s="434" t="s">
        <v>10227</v>
      </c>
      <c r="H1082" s="435" t="s">
        <v>10228</v>
      </c>
    </row>
    <row r="1083" spans="1:8">
      <c r="A1083" s="434" t="s">
        <v>2588</v>
      </c>
      <c r="B1083" s="435" t="s">
        <v>2589</v>
      </c>
      <c r="D1083" s="437" t="s">
        <v>4412</v>
      </c>
      <c r="E1083" s="435"/>
      <c r="G1083" s="434" t="s">
        <v>10229</v>
      </c>
      <c r="H1083" s="435" t="s">
        <v>10228</v>
      </c>
    </row>
    <row r="1084" spans="1:8">
      <c r="A1084" s="434" t="s">
        <v>2590</v>
      </c>
      <c r="B1084" s="435" t="s">
        <v>2589</v>
      </c>
      <c r="D1084" s="437" t="s">
        <v>4413</v>
      </c>
      <c r="E1084" s="435"/>
      <c r="G1084" s="434" t="s">
        <v>10230</v>
      </c>
      <c r="H1084" s="435" t="s">
        <v>10231</v>
      </c>
    </row>
    <row r="1085" spans="1:8">
      <c r="A1085" s="437" t="s">
        <v>2591</v>
      </c>
      <c r="B1085" s="435"/>
      <c r="D1085" s="437" t="s">
        <v>4414</v>
      </c>
      <c r="E1085" s="435"/>
      <c r="G1085" s="434" t="s">
        <v>10232</v>
      </c>
      <c r="H1085" s="435" t="s">
        <v>10233</v>
      </c>
    </row>
    <row r="1086" spans="1:8">
      <c r="A1086" s="437" t="s">
        <v>2592</v>
      </c>
      <c r="B1086" s="435"/>
      <c r="D1086" s="437" t="s">
        <v>4415</v>
      </c>
      <c r="E1086" s="435"/>
      <c r="G1086" s="437" t="s">
        <v>10234</v>
      </c>
      <c r="H1086" s="435"/>
    </row>
    <row r="1087" spans="1:8">
      <c r="A1087" s="437" t="s">
        <v>2593</v>
      </c>
      <c r="B1087" s="435"/>
      <c r="D1087" s="437" t="s">
        <v>4416</v>
      </c>
      <c r="E1087" s="435"/>
      <c r="G1087" s="437" t="s">
        <v>10235</v>
      </c>
      <c r="H1087" s="435"/>
    </row>
    <row r="1088" spans="1:8">
      <c r="A1088" s="437" t="s">
        <v>2594</v>
      </c>
      <c r="B1088" s="435"/>
      <c r="D1088" s="434" t="s">
        <v>4417</v>
      </c>
      <c r="E1088" s="435" t="s">
        <v>4418</v>
      </c>
      <c r="G1088" s="434" t="s">
        <v>10236</v>
      </c>
      <c r="H1088" s="435" t="s">
        <v>10237</v>
      </c>
    </row>
    <row r="1089" spans="1:8">
      <c r="A1089" s="437" t="s">
        <v>2595</v>
      </c>
      <c r="B1089" s="435"/>
      <c r="D1089" s="437" t="s">
        <v>4419</v>
      </c>
      <c r="E1089" s="435"/>
      <c r="G1089" s="434" t="s">
        <v>10238</v>
      </c>
      <c r="H1089" s="435" t="s">
        <v>10237</v>
      </c>
    </row>
    <row r="1090" spans="1:8">
      <c r="A1090" s="437" t="s">
        <v>2596</v>
      </c>
      <c r="B1090" s="435"/>
      <c r="D1090" s="437" t="s">
        <v>4420</v>
      </c>
      <c r="E1090" s="435"/>
      <c r="G1090" s="434" t="s">
        <v>10239</v>
      </c>
      <c r="H1090" s="435" t="s">
        <v>10237</v>
      </c>
    </row>
    <row r="1091" spans="1:8">
      <c r="A1091" s="437" t="s">
        <v>2597</v>
      </c>
      <c r="B1091" s="435"/>
      <c r="D1091" s="434" t="s">
        <v>4421</v>
      </c>
      <c r="E1091" s="435" t="s">
        <v>4422</v>
      </c>
      <c r="G1091" s="437" t="s">
        <v>10240</v>
      </c>
      <c r="H1091" s="435"/>
    </row>
    <row r="1092" spans="1:8">
      <c r="A1092" s="437" t="s">
        <v>2598</v>
      </c>
      <c r="B1092" s="435"/>
      <c r="D1092" s="434" t="s">
        <v>4423</v>
      </c>
      <c r="E1092" s="435" t="s">
        <v>4424</v>
      </c>
      <c r="G1092" s="437" t="s">
        <v>10241</v>
      </c>
      <c r="H1092" s="435"/>
    </row>
    <row r="1093" spans="1:8">
      <c r="A1093" s="434" t="s">
        <v>2599</v>
      </c>
      <c r="B1093" s="435" t="s">
        <v>2600</v>
      </c>
      <c r="D1093" s="437" t="s">
        <v>4425</v>
      </c>
      <c r="E1093" s="435"/>
      <c r="G1093" s="437" t="s">
        <v>10242</v>
      </c>
      <c r="H1093" s="435"/>
    </row>
    <row r="1094" spans="1:8">
      <c r="A1094" s="437" t="s">
        <v>2601</v>
      </c>
      <c r="B1094" s="435"/>
      <c r="D1094" s="437" t="s">
        <v>4426</v>
      </c>
      <c r="E1094" s="435"/>
      <c r="G1094" s="437" t="s">
        <v>10243</v>
      </c>
      <c r="H1094" s="435"/>
    </row>
    <row r="1095" spans="1:8">
      <c r="A1095" s="437" t="s">
        <v>2602</v>
      </c>
      <c r="B1095" s="435"/>
      <c r="D1095" s="437" t="s">
        <v>4427</v>
      </c>
      <c r="E1095" s="435"/>
      <c r="G1095" s="434" t="s">
        <v>10244</v>
      </c>
      <c r="H1095" s="435" t="s">
        <v>10245</v>
      </c>
    </row>
    <row r="1096" spans="1:8">
      <c r="A1096" s="434" t="s">
        <v>2603</v>
      </c>
      <c r="B1096" s="435" t="s">
        <v>2604</v>
      </c>
      <c r="D1096" s="434" t="s">
        <v>4428</v>
      </c>
      <c r="E1096" s="435" t="s">
        <v>4429</v>
      </c>
      <c r="G1096" s="434" t="s">
        <v>10246</v>
      </c>
      <c r="H1096" s="435" t="s">
        <v>10245</v>
      </c>
    </row>
    <row r="1097" spans="1:8">
      <c r="A1097" s="434" t="s">
        <v>94</v>
      </c>
      <c r="B1097" s="435" t="s">
        <v>2605</v>
      </c>
      <c r="D1097" s="434" t="s">
        <v>4430</v>
      </c>
      <c r="E1097" s="435" t="s">
        <v>4431</v>
      </c>
      <c r="G1097" s="437" t="s">
        <v>10247</v>
      </c>
      <c r="H1097" s="435"/>
    </row>
    <row r="1098" spans="1:8">
      <c r="A1098" s="437" t="s">
        <v>2606</v>
      </c>
      <c r="B1098" s="435"/>
      <c r="D1098" s="434" t="s">
        <v>4432</v>
      </c>
      <c r="E1098" s="435" t="s">
        <v>4433</v>
      </c>
      <c r="G1098" s="437" t="s">
        <v>10248</v>
      </c>
      <c r="H1098" s="435"/>
    </row>
    <row r="1099" spans="1:8">
      <c r="A1099" s="437" t="s">
        <v>2607</v>
      </c>
      <c r="B1099" s="435"/>
      <c r="D1099" s="434" t="s">
        <v>4434</v>
      </c>
      <c r="E1099" s="435" t="s">
        <v>4433</v>
      </c>
      <c r="G1099" s="437" t="s">
        <v>10249</v>
      </c>
      <c r="H1099" s="435"/>
    </row>
    <row r="1100" spans="1:8">
      <c r="A1100" s="437" t="s">
        <v>2608</v>
      </c>
      <c r="B1100" s="435"/>
      <c r="D1100" s="437" t="s">
        <v>4435</v>
      </c>
      <c r="E1100" s="435"/>
      <c r="G1100" s="437" t="s">
        <v>10250</v>
      </c>
      <c r="H1100" s="435"/>
    </row>
    <row r="1101" spans="1:8">
      <c r="A1101" s="437" t="s">
        <v>2609</v>
      </c>
      <c r="B1101" s="435"/>
      <c r="D1101" s="434" t="s">
        <v>4436</v>
      </c>
      <c r="E1101" s="435" t="s">
        <v>4433</v>
      </c>
      <c r="G1101" s="437" t="s">
        <v>10251</v>
      </c>
      <c r="H1101" s="435"/>
    </row>
    <row r="1102" spans="1:8">
      <c r="A1102" s="437" t="s">
        <v>2610</v>
      </c>
      <c r="B1102" s="435"/>
      <c r="D1102" s="437" t="s">
        <v>4437</v>
      </c>
      <c r="E1102" s="435"/>
      <c r="G1102" s="437" t="s">
        <v>10252</v>
      </c>
      <c r="H1102" s="435"/>
    </row>
    <row r="1103" spans="1:8">
      <c r="A1103" s="437" t="s">
        <v>2611</v>
      </c>
      <c r="B1103" s="435"/>
      <c r="D1103" s="434" t="s">
        <v>4438</v>
      </c>
      <c r="E1103" s="435" t="s">
        <v>4433</v>
      </c>
      <c r="G1103" s="437" t="s">
        <v>10253</v>
      </c>
      <c r="H1103" s="435"/>
    </row>
    <row r="1104" spans="1:8">
      <c r="A1104" s="437" t="s">
        <v>2612</v>
      </c>
      <c r="B1104" s="435"/>
      <c r="D1104" s="437" t="s">
        <v>4439</v>
      </c>
      <c r="E1104" s="435"/>
      <c r="G1104" s="437" t="s">
        <v>10254</v>
      </c>
      <c r="H1104" s="435"/>
    </row>
    <row r="1105" spans="1:8">
      <c r="A1105" s="437" t="s">
        <v>2613</v>
      </c>
      <c r="B1105" s="435"/>
      <c r="D1105" s="437" t="s">
        <v>4440</v>
      </c>
      <c r="E1105" s="435"/>
      <c r="G1105" s="434" t="s">
        <v>10255</v>
      </c>
      <c r="H1105" s="435" t="s">
        <v>10256</v>
      </c>
    </row>
    <row r="1106" spans="1:8">
      <c r="A1106" s="437" t="s">
        <v>2614</v>
      </c>
      <c r="B1106" s="435"/>
      <c r="D1106" s="437" t="s">
        <v>4441</v>
      </c>
      <c r="E1106" s="435"/>
      <c r="G1106" s="437" t="s">
        <v>10257</v>
      </c>
      <c r="H1106" s="435"/>
    </row>
    <row r="1107" spans="1:8">
      <c r="A1107" s="437" t="s">
        <v>2615</v>
      </c>
      <c r="B1107" s="435"/>
      <c r="D1107" s="434" t="s">
        <v>4442</v>
      </c>
      <c r="E1107" s="435" t="s">
        <v>4443</v>
      </c>
      <c r="G1107" s="434" t="s">
        <v>10258</v>
      </c>
      <c r="H1107" s="435" t="s">
        <v>10259</v>
      </c>
    </row>
    <row r="1108" spans="1:8">
      <c r="A1108" s="437" t="s">
        <v>2616</v>
      </c>
      <c r="B1108" s="435"/>
      <c r="D1108" s="434" t="s">
        <v>4444</v>
      </c>
      <c r="E1108" s="435" t="s">
        <v>4443</v>
      </c>
      <c r="G1108" s="437" t="s">
        <v>10260</v>
      </c>
      <c r="H1108" s="435"/>
    </row>
    <row r="1109" spans="1:8">
      <c r="A1109" s="437" t="s">
        <v>2617</v>
      </c>
      <c r="B1109" s="435"/>
      <c r="D1109" s="434" t="s">
        <v>4445</v>
      </c>
      <c r="E1109" s="435"/>
      <c r="G1109" s="437" t="s">
        <v>10261</v>
      </c>
      <c r="H1109" s="435"/>
    </row>
    <row r="1110" spans="1:8">
      <c r="A1110" s="437" t="s">
        <v>2618</v>
      </c>
      <c r="B1110" s="435"/>
      <c r="D1110" s="437" t="s">
        <v>4446</v>
      </c>
      <c r="E1110" s="435"/>
      <c r="G1110" s="434" t="s">
        <v>10262</v>
      </c>
      <c r="H1110" s="435"/>
    </row>
    <row r="1111" spans="1:8">
      <c r="A1111" s="434" t="s">
        <v>2619</v>
      </c>
      <c r="B1111" s="435" t="s">
        <v>2620</v>
      </c>
      <c r="D1111" s="434" t="s">
        <v>4447</v>
      </c>
      <c r="E1111" s="435" t="s">
        <v>4448</v>
      </c>
      <c r="G1111" s="434" t="s">
        <v>10263</v>
      </c>
      <c r="H1111" s="435" t="s">
        <v>10264</v>
      </c>
    </row>
    <row r="1112" spans="1:8">
      <c r="A1112" s="434" t="s">
        <v>2621</v>
      </c>
      <c r="B1112" s="435" t="s">
        <v>2620</v>
      </c>
      <c r="D1112" s="434" t="s">
        <v>4449</v>
      </c>
      <c r="E1112" s="435" t="s">
        <v>4448</v>
      </c>
      <c r="G1112" s="434" t="s">
        <v>10265</v>
      </c>
      <c r="H1112" s="435"/>
    </row>
    <row r="1113" spans="1:8">
      <c r="A1113" s="434" t="s">
        <v>2622</v>
      </c>
      <c r="B1113" s="435" t="s">
        <v>2623</v>
      </c>
      <c r="D1113" s="437" t="s">
        <v>4450</v>
      </c>
      <c r="E1113" s="435"/>
      <c r="G1113" s="434" t="s">
        <v>10266</v>
      </c>
      <c r="H1113" s="435"/>
    </row>
    <row r="1114" spans="1:8">
      <c r="A1114" s="437" t="s">
        <v>2624</v>
      </c>
      <c r="B1114" s="435"/>
      <c r="D1114" s="437" t="s">
        <v>4451</v>
      </c>
      <c r="E1114" s="435"/>
      <c r="G1114" s="437" t="s">
        <v>10267</v>
      </c>
      <c r="H1114" s="435"/>
    </row>
    <row r="1115" spans="1:8">
      <c r="A1115" s="437" t="s">
        <v>2625</v>
      </c>
      <c r="B1115" s="435"/>
      <c r="D1115" s="437" t="s">
        <v>4452</v>
      </c>
      <c r="E1115" s="435"/>
      <c r="G1115" s="434" t="s">
        <v>10268</v>
      </c>
      <c r="H1115" s="435" t="s">
        <v>10269</v>
      </c>
    </row>
    <row r="1116" spans="1:8">
      <c r="A1116" s="434" t="s">
        <v>96</v>
      </c>
      <c r="B1116" s="435" t="s">
        <v>2626</v>
      </c>
      <c r="D1116" s="437" t="s">
        <v>4453</v>
      </c>
      <c r="E1116" s="435"/>
      <c r="G1116" s="434" t="s">
        <v>10270</v>
      </c>
      <c r="H1116" s="435"/>
    </row>
    <row r="1117" spans="1:8">
      <c r="A1117" s="437" t="s">
        <v>2627</v>
      </c>
      <c r="B1117" s="435"/>
      <c r="D1117" s="437" t="s">
        <v>4454</v>
      </c>
      <c r="E1117" s="435"/>
      <c r="G1117" s="434" t="s">
        <v>10271</v>
      </c>
      <c r="H1117" s="435"/>
    </row>
    <row r="1118" spans="1:8">
      <c r="A1118" s="437" t="s">
        <v>2628</v>
      </c>
      <c r="B1118" s="435"/>
      <c r="D1118" s="434" t="s">
        <v>4455</v>
      </c>
      <c r="E1118" s="435" t="s">
        <v>4456</v>
      </c>
      <c r="G1118" s="434" t="s">
        <v>10272</v>
      </c>
      <c r="H1118" s="435"/>
    </row>
    <row r="1119" spans="1:8">
      <c r="A1119" s="434" t="s">
        <v>97</v>
      </c>
      <c r="B1119" s="435" t="s">
        <v>2629</v>
      </c>
      <c r="D1119" s="437" t="s">
        <v>4457</v>
      </c>
      <c r="E1119" s="435"/>
      <c r="G1119" s="437" t="s">
        <v>10273</v>
      </c>
      <c r="H1119" s="435"/>
    </row>
    <row r="1120" spans="1:8">
      <c r="A1120" s="434" t="s">
        <v>2630</v>
      </c>
      <c r="B1120" s="435" t="s">
        <v>2631</v>
      </c>
      <c r="D1120" s="437" t="s">
        <v>4458</v>
      </c>
      <c r="E1120" s="435"/>
      <c r="G1120" s="434" t="s">
        <v>10274</v>
      </c>
      <c r="H1120" s="435" t="s">
        <v>10275</v>
      </c>
    </row>
    <row r="1121" spans="1:8">
      <c r="A1121" s="437" t="s">
        <v>2632</v>
      </c>
      <c r="B1121" s="435"/>
      <c r="D1121" s="434" t="s">
        <v>4459</v>
      </c>
      <c r="E1121" s="435" t="s">
        <v>4460</v>
      </c>
      <c r="G1121" s="434" t="s">
        <v>10276</v>
      </c>
      <c r="H1121" s="435"/>
    </row>
    <row r="1122" spans="1:8">
      <c r="A1122" s="437" t="s">
        <v>2633</v>
      </c>
      <c r="B1122" s="435"/>
      <c r="D1122" s="437" t="s">
        <v>4461</v>
      </c>
      <c r="E1122" s="435"/>
      <c r="G1122" s="434" t="s">
        <v>10277</v>
      </c>
      <c r="H1122" s="435" t="s">
        <v>10278</v>
      </c>
    </row>
    <row r="1123" spans="1:8">
      <c r="A1123" s="434" t="s">
        <v>2634</v>
      </c>
      <c r="B1123" s="435" t="s">
        <v>2635</v>
      </c>
      <c r="D1123" s="437" t="s">
        <v>4462</v>
      </c>
      <c r="E1123" s="435"/>
      <c r="G1123" s="434" t="s">
        <v>10279</v>
      </c>
      <c r="H1123" s="435" t="s">
        <v>10278</v>
      </c>
    </row>
    <row r="1124" spans="1:8">
      <c r="A1124" s="434" t="s">
        <v>98</v>
      </c>
      <c r="B1124" s="435" t="s">
        <v>2636</v>
      </c>
      <c r="D1124" s="437" t="s">
        <v>4463</v>
      </c>
      <c r="E1124" s="435"/>
      <c r="G1124" s="437" t="s">
        <v>10280</v>
      </c>
      <c r="H1124" s="435"/>
    </row>
    <row r="1125" spans="1:8">
      <c r="A1125" s="434" t="s">
        <v>2637</v>
      </c>
      <c r="B1125" s="435" t="s">
        <v>2636</v>
      </c>
      <c r="D1125" s="437" t="s">
        <v>4464</v>
      </c>
      <c r="E1125" s="435"/>
      <c r="G1125" s="434" t="s">
        <v>10281</v>
      </c>
      <c r="H1125" s="435" t="s">
        <v>10282</v>
      </c>
    </row>
    <row r="1126" spans="1:8">
      <c r="A1126" s="437" t="s">
        <v>2628</v>
      </c>
      <c r="B1126" s="435"/>
      <c r="D1126" s="434" t="s">
        <v>4465</v>
      </c>
      <c r="E1126" s="435" t="s">
        <v>4466</v>
      </c>
      <c r="G1126" s="434" t="s">
        <v>10283</v>
      </c>
      <c r="H1126" s="435" t="s">
        <v>10282</v>
      </c>
    </row>
    <row r="1127" spans="1:8">
      <c r="A1127" s="434" t="s">
        <v>2638</v>
      </c>
      <c r="B1127" s="435" t="s">
        <v>2639</v>
      </c>
      <c r="D1127" s="437" t="s">
        <v>4467</v>
      </c>
      <c r="E1127" s="435"/>
      <c r="G1127" s="437" t="s">
        <v>10284</v>
      </c>
      <c r="H1127" s="435"/>
    </row>
    <row r="1128" spans="1:8">
      <c r="A1128" s="437" t="s">
        <v>2640</v>
      </c>
      <c r="B1128" s="435"/>
      <c r="D1128" s="434" t="s">
        <v>4468</v>
      </c>
      <c r="E1128" s="435" t="s">
        <v>4469</v>
      </c>
      <c r="G1128" s="434" t="s">
        <v>10285</v>
      </c>
      <c r="H1128" s="435" t="s">
        <v>10286</v>
      </c>
    </row>
    <row r="1129" spans="1:8">
      <c r="A1129" s="437" t="s">
        <v>2641</v>
      </c>
      <c r="B1129" s="435"/>
      <c r="D1129" s="437" t="s">
        <v>4470</v>
      </c>
      <c r="E1129" s="435"/>
      <c r="G1129" s="437" t="s">
        <v>10287</v>
      </c>
      <c r="H1129" s="435"/>
    </row>
    <row r="1130" spans="1:8">
      <c r="A1130" s="437" t="s">
        <v>2642</v>
      </c>
      <c r="B1130" s="435"/>
      <c r="D1130" s="437" t="s">
        <v>4471</v>
      </c>
      <c r="E1130" s="435"/>
      <c r="G1130" s="437" t="s">
        <v>10288</v>
      </c>
      <c r="H1130" s="435"/>
    </row>
    <row r="1131" spans="1:8">
      <c r="A1131" s="434" t="s">
        <v>2643</v>
      </c>
      <c r="B1131" s="435"/>
      <c r="D1131" s="434" t="s">
        <v>4472</v>
      </c>
      <c r="E1131" s="435" t="s">
        <v>4473</v>
      </c>
      <c r="G1131" s="437" t="s">
        <v>10289</v>
      </c>
      <c r="H1131" s="435"/>
    </row>
    <row r="1132" spans="1:8">
      <c r="A1132" s="434" t="s">
        <v>2644</v>
      </c>
      <c r="B1132" s="435" t="s">
        <v>2645</v>
      </c>
      <c r="D1132" s="437" t="s">
        <v>4474</v>
      </c>
      <c r="E1132" s="435"/>
      <c r="G1132" s="437" t="s">
        <v>10290</v>
      </c>
      <c r="H1132" s="435"/>
    </row>
    <row r="1133" spans="1:8">
      <c r="A1133" s="434" t="s">
        <v>2646</v>
      </c>
      <c r="B1133" s="435" t="s">
        <v>2645</v>
      </c>
      <c r="D1133" s="437" t="s">
        <v>4475</v>
      </c>
      <c r="E1133" s="435"/>
      <c r="G1133" s="434" t="s">
        <v>10291</v>
      </c>
      <c r="H1133" s="435"/>
    </row>
    <row r="1134" spans="1:8">
      <c r="A1134" s="434" t="s">
        <v>100</v>
      </c>
      <c r="B1134" s="435" t="s">
        <v>2647</v>
      </c>
      <c r="D1134" s="434" t="s">
        <v>4476</v>
      </c>
      <c r="E1134" s="435"/>
      <c r="G1134" s="434" t="s">
        <v>10292</v>
      </c>
      <c r="H1134" s="435" t="s">
        <v>10293</v>
      </c>
    </row>
    <row r="1135" spans="1:8">
      <c r="A1135" s="437" t="s">
        <v>2648</v>
      </c>
      <c r="B1135" s="435"/>
      <c r="D1135" s="434" t="s">
        <v>4477</v>
      </c>
      <c r="E1135" s="435" t="s">
        <v>4478</v>
      </c>
      <c r="G1135" s="434" t="s">
        <v>10289</v>
      </c>
      <c r="H1135" s="435" t="s">
        <v>10294</v>
      </c>
    </row>
    <row r="1136" spans="1:8">
      <c r="A1136" s="437" t="s">
        <v>2649</v>
      </c>
      <c r="B1136" s="435"/>
      <c r="D1136" s="437" t="s">
        <v>4479</v>
      </c>
      <c r="E1136" s="435"/>
      <c r="G1136" s="437" t="s">
        <v>10295</v>
      </c>
      <c r="H1136" s="435"/>
    </row>
    <row r="1137" spans="1:8">
      <c r="A1137" s="437" t="s">
        <v>2650</v>
      </c>
      <c r="B1137" s="435"/>
      <c r="D1137" s="437" t="s">
        <v>4480</v>
      </c>
      <c r="E1137" s="435"/>
      <c r="G1137" s="434" t="s">
        <v>10296</v>
      </c>
      <c r="H1137" s="435" t="s">
        <v>10297</v>
      </c>
    </row>
    <row r="1138" spans="1:8">
      <c r="A1138" s="434" t="s">
        <v>101</v>
      </c>
      <c r="B1138" s="435" t="s">
        <v>2651</v>
      </c>
      <c r="D1138" s="437" t="s">
        <v>4481</v>
      </c>
      <c r="E1138" s="435"/>
      <c r="G1138" s="434" t="s">
        <v>10298</v>
      </c>
      <c r="H1138" s="435" t="s">
        <v>10297</v>
      </c>
    </row>
    <row r="1139" spans="1:8">
      <c r="A1139" s="434" t="s">
        <v>2652</v>
      </c>
      <c r="B1139" s="435" t="s">
        <v>2653</v>
      </c>
      <c r="D1139" s="437" t="s">
        <v>4482</v>
      </c>
      <c r="E1139" s="435"/>
      <c r="G1139" s="437" t="s">
        <v>10299</v>
      </c>
      <c r="H1139" s="435"/>
    </row>
    <row r="1140" spans="1:8">
      <c r="A1140" s="437" t="s">
        <v>2654</v>
      </c>
      <c r="B1140" s="435"/>
      <c r="D1140" s="434" t="s">
        <v>4483</v>
      </c>
      <c r="E1140" s="435" t="s">
        <v>4484</v>
      </c>
      <c r="G1140" s="437" t="s">
        <v>10300</v>
      </c>
      <c r="H1140" s="435"/>
    </row>
    <row r="1141" spans="1:8">
      <c r="A1141" s="434" t="s">
        <v>1071</v>
      </c>
      <c r="B1141" s="435" t="s">
        <v>2655</v>
      </c>
      <c r="D1141" s="434" t="s">
        <v>4485</v>
      </c>
      <c r="E1141" s="435" t="s">
        <v>4484</v>
      </c>
      <c r="G1141" s="434" t="s">
        <v>10301</v>
      </c>
      <c r="H1141" s="435" t="s">
        <v>10297</v>
      </c>
    </row>
    <row r="1142" spans="1:8">
      <c r="A1142" s="437" t="s">
        <v>2656</v>
      </c>
      <c r="B1142" s="435"/>
      <c r="D1142" s="437" t="s">
        <v>4486</v>
      </c>
      <c r="E1142" s="435"/>
      <c r="G1142" s="437" t="s">
        <v>10302</v>
      </c>
      <c r="H1142" s="435"/>
    </row>
    <row r="1143" spans="1:8">
      <c r="A1143" s="437" t="s">
        <v>2657</v>
      </c>
      <c r="B1143" s="435"/>
      <c r="D1143" s="437" t="s">
        <v>4487</v>
      </c>
      <c r="E1143" s="435"/>
      <c r="G1143" s="437" t="s">
        <v>10303</v>
      </c>
      <c r="H1143" s="435"/>
    </row>
    <row r="1144" spans="1:8">
      <c r="A1144" s="437" t="s">
        <v>2658</v>
      </c>
      <c r="B1144" s="435"/>
      <c r="D1144" s="437" t="s">
        <v>4488</v>
      </c>
      <c r="E1144" s="435"/>
      <c r="G1144" s="434" t="s">
        <v>10304</v>
      </c>
      <c r="H1144" s="435"/>
    </row>
    <row r="1145" spans="1:8">
      <c r="A1145" s="437" t="s">
        <v>2659</v>
      </c>
      <c r="B1145" s="435"/>
      <c r="D1145" s="437" t="s">
        <v>4489</v>
      </c>
      <c r="E1145" s="435"/>
      <c r="G1145" s="437" t="s">
        <v>10305</v>
      </c>
      <c r="H1145" s="435"/>
    </row>
    <row r="1146" spans="1:8">
      <c r="A1146" s="437" t="s">
        <v>2660</v>
      </c>
      <c r="B1146" s="435"/>
      <c r="D1146" s="437" t="s">
        <v>4490</v>
      </c>
      <c r="E1146" s="435"/>
      <c r="G1146" s="434" t="s">
        <v>10306</v>
      </c>
      <c r="H1146" s="435" t="s">
        <v>10307</v>
      </c>
    </row>
    <row r="1147" spans="1:8">
      <c r="A1147" s="437" t="s">
        <v>2661</v>
      </c>
      <c r="B1147" s="435"/>
      <c r="D1147" s="437" t="s">
        <v>4491</v>
      </c>
      <c r="E1147" s="435"/>
      <c r="G1147" s="437" t="s">
        <v>10308</v>
      </c>
      <c r="H1147" s="435"/>
    </row>
    <row r="1148" spans="1:8">
      <c r="A1148" s="437" t="s">
        <v>2662</v>
      </c>
      <c r="B1148" s="435"/>
      <c r="D1148" s="437" t="s">
        <v>4492</v>
      </c>
      <c r="E1148" s="435"/>
      <c r="G1148" s="437" t="s">
        <v>10309</v>
      </c>
      <c r="H1148" s="435"/>
    </row>
    <row r="1149" spans="1:8">
      <c r="A1149" s="437" t="s">
        <v>2663</v>
      </c>
      <c r="B1149" s="435"/>
      <c r="D1149" s="434" t="s">
        <v>4493</v>
      </c>
      <c r="E1149" s="435" t="s">
        <v>4494</v>
      </c>
      <c r="G1149" s="434" t="s">
        <v>10310</v>
      </c>
      <c r="H1149" s="435" t="s">
        <v>10311</v>
      </c>
    </row>
    <row r="1150" spans="1:8">
      <c r="A1150" s="434" t="s">
        <v>2664</v>
      </c>
      <c r="B1150" s="435" t="s">
        <v>2665</v>
      </c>
      <c r="D1150" s="434" t="s">
        <v>4495</v>
      </c>
      <c r="E1150" s="435" t="s">
        <v>4494</v>
      </c>
      <c r="G1150" s="437" t="s">
        <v>10312</v>
      </c>
      <c r="H1150" s="435"/>
    </row>
    <row r="1151" spans="1:8">
      <c r="A1151" s="437" t="s">
        <v>2666</v>
      </c>
      <c r="B1151" s="435"/>
      <c r="D1151" s="437" t="s">
        <v>4496</v>
      </c>
      <c r="E1151" s="435"/>
      <c r="G1151" s="434" t="s">
        <v>10313</v>
      </c>
      <c r="H1151" s="435" t="s">
        <v>10314</v>
      </c>
    </row>
    <row r="1152" spans="1:8">
      <c r="A1152" s="434" t="s">
        <v>102</v>
      </c>
      <c r="B1152" s="435" t="s">
        <v>2667</v>
      </c>
      <c r="D1152" s="437" t="s">
        <v>4497</v>
      </c>
      <c r="E1152" s="435"/>
      <c r="G1152" s="434" t="s">
        <v>10315</v>
      </c>
      <c r="H1152" s="435" t="s">
        <v>10316</v>
      </c>
    </row>
    <row r="1153" spans="1:8">
      <c r="A1153" s="437" t="s">
        <v>2668</v>
      </c>
      <c r="B1153" s="435"/>
      <c r="D1153" s="434" t="s">
        <v>4498</v>
      </c>
      <c r="E1153" s="435" t="s">
        <v>4499</v>
      </c>
      <c r="G1153" s="434" t="s">
        <v>10317</v>
      </c>
      <c r="H1153" s="435" t="s">
        <v>10316</v>
      </c>
    </row>
    <row r="1154" spans="1:8">
      <c r="A1154" s="437" t="s">
        <v>2669</v>
      </c>
      <c r="B1154" s="435"/>
      <c r="D1154" s="437" t="s">
        <v>4500</v>
      </c>
      <c r="E1154" s="435"/>
      <c r="G1154" s="437" t="s">
        <v>10318</v>
      </c>
      <c r="H1154" s="435"/>
    </row>
    <row r="1155" spans="1:8">
      <c r="A1155" s="434" t="s">
        <v>2670</v>
      </c>
      <c r="B1155" s="435" t="s">
        <v>2671</v>
      </c>
      <c r="D1155" s="437" t="s">
        <v>4501</v>
      </c>
      <c r="E1155" s="435"/>
      <c r="G1155" s="434" t="s">
        <v>10319</v>
      </c>
      <c r="H1155" s="435" t="s">
        <v>10316</v>
      </c>
    </row>
    <row r="1156" spans="1:8">
      <c r="A1156" s="437" t="s">
        <v>2672</v>
      </c>
      <c r="B1156" s="435"/>
      <c r="D1156" s="437" t="s">
        <v>4502</v>
      </c>
      <c r="E1156" s="435"/>
      <c r="G1156" s="434" t="s">
        <v>10320</v>
      </c>
      <c r="H1156" s="435" t="s">
        <v>10321</v>
      </c>
    </row>
    <row r="1157" spans="1:8">
      <c r="A1157" s="437" t="s">
        <v>2673</v>
      </c>
      <c r="B1157" s="435"/>
      <c r="D1157" s="437" t="s">
        <v>4503</v>
      </c>
      <c r="E1157" s="435"/>
      <c r="G1157" s="434" t="s">
        <v>10322</v>
      </c>
      <c r="H1157" s="435" t="s">
        <v>10321</v>
      </c>
    </row>
    <row r="1158" spans="1:8">
      <c r="A1158" s="434" t="s">
        <v>2674</v>
      </c>
      <c r="B1158" s="435" t="s">
        <v>2675</v>
      </c>
      <c r="D1158" s="437" t="s">
        <v>4504</v>
      </c>
      <c r="E1158" s="435"/>
      <c r="G1158" s="437" t="s">
        <v>10323</v>
      </c>
      <c r="H1158" s="435"/>
    </row>
    <row r="1159" spans="1:8">
      <c r="A1159" s="434" t="s">
        <v>2676</v>
      </c>
      <c r="B1159" s="435" t="s">
        <v>2677</v>
      </c>
      <c r="D1159" s="434" t="s">
        <v>4505</v>
      </c>
      <c r="E1159" s="435" t="s">
        <v>4506</v>
      </c>
      <c r="G1159" s="437" t="s">
        <v>10324</v>
      </c>
      <c r="H1159" s="435"/>
    </row>
    <row r="1160" spans="1:8">
      <c r="A1160" s="437" t="s">
        <v>2678</v>
      </c>
      <c r="B1160" s="435"/>
      <c r="D1160" s="437" t="s">
        <v>4507</v>
      </c>
      <c r="E1160" s="435"/>
      <c r="G1160" s="434" t="s">
        <v>10325</v>
      </c>
      <c r="H1160" s="435" t="s">
        <v>10321</v>
      </c>
    </row>
    <row r="1161" spans="1:8">
      <c r="A1161" s="437" t="s">
        <v>2679</v>
      </c>
      <c r="B1161" s="435"/>
      <c r="D1161" s="434" t="s">
        <v>4508</v>
      </c>
      <c r="E1161" s="435" t="s">
        <v>4509</v>
      </c>
      <c r="G1161" s="437" t="s">
        <v>10326</v>
      </c>
      <c r="H1161" s="435"/>
    </row>
    <row r="1162" spans="1:8">
      <c r="A1162" s="437" t="s">
        <v>2680</v>
      </c>
      <c r="B1162" s="435"/>
      <c r="D1162" s="437" t="s">
        <v>4510</v>
      </c>
      <c r="E1162" s="435"/>
      <c r="G1162" s="437" t="s">
        <v>10327</v>
      </c>
      <c r="H1162" s="435"/>
    </row>
    <row r="1163" spans="1:8">
      <c r="A1163" s="437" t="s">
        <v>2681</v>
      </c>
      <c r="B1163" s="435"/>
      <c r="D1163" s="437" t="s">
        <v>4511</v>
      </c>
      <c r="E1163" s="435"/>
      <c r="G1163" s="434" t="s">
        <v>10328</v>
      </c>
      <c r="H1163" s="435" t="s">
        <v>10329</v>
      </c>
    </row>
    <row r="1164" spans="1:8">
      <c r="A1164" s="437" t="s">
        <v>2682</v>
      </c>
      <c r="B1164" s="435"/>
      <c r="D1164" s="437" t="s">
        <v>4512</v>
      </c>
      <c r="E1164" s="435"/>
      <c r="G1164" s="437" t="s">
        <v>10330</v>
      </c>
      <c r="H1164" s="435"/>
    </row>
    <row r="1165" spans="1:8">
      <c r="A1165" s="437" t="s">
        <v>2683</v>
      </c>
      <c r="B1165" s="435"/>
      <c r="D1165" s="437" t="s">
        <v>4513</v>
      </c>
      <c r="E1165" s="435"/>
      <c r="G1165" s="434" t="s">
        <v>10331</v>
      </c>
      <c r="H1165" s="435" t="s">
        <v>10329</v>
      </c>
    </row>
    <row r="1166" spans="1:8">
      <c r="A1166" s="437" t="s">
        <v>2684</v>
      </c>
      <c r="B1166" s="435"/>
      <c r="D1166" s="437" t="s">
        <v>4514</v>
      </c>
      <c r="E1166" s="435"/>
      <c r="G1166" s="437" t="s">
        <v>10332</v>
      </c>
      <c r="H1166" s="435"/>
    </row>
    <row r="1167" spans="1:8">
      <c r="A1167" s="437" t="s">
        <v>2685</v>
      </c>
      <c r="B1167" s="435"/>
      <c r="D1167" s="434" t="s">
        <v>4515</v>
      </c>
      <c r="E1167" s="435" t="s">
        <v>4516</v>
      </c>
      <c r="G1167" s="434" t="s">
        <v>10333</v>
      </c>
      <c r="H1167" s="435" t="s">
        <v>10334</v>
      </c>
    </row>
    <row r="1168" spans="1:8">
      <c r="A1168" s="434" t="s">
        <v>2686</v>
      </c>
      <c r="B1168" s="435" t="s">
        <v>2687</v>
      </c>
      <c r="D1168" s="437" t="s">
        <v>4517</v>
      </c>
      <c r="E1168" s="435"/>
      <c r="G1168" s="437" t="s">
        <v>10335</v>
      </c>
      <c r="H1168" s="435"/>
    </row>
    <row r="1169" spans="1:8">
      <c r="A1169" s="437" t="s">
        <v>2688</v>
      </c>
      <c r="B1169" s="435"/>
      <c r="D1169" s="434" t="s">
        <v>4518</v>
      </c>
      <c r="E1169" s="435" t="s">
        <v>4519</v>
      </c>
      <c r="G1169" s="437" t="s">
        <v>10336</v>
      </c>
      <c r="H1169" s="435"/>
    </row>
    <row r="1170" spans="1:8">
      <c r="A1170" s="437" t="s">
        <v>2689</v>
      </c>
      <c r="B1170" s="435"/>
      <c r="D1170" s="434" t="s">
        <v>4520</v>
      </c>
      <c r="E1170" s="435" t="s">
        <v>4521</v>
      </c>
      <c r="G1170" s="437" t="s">
        <v>10337</v>
      </c>
      <c r="H1170" s="435"/>
    </row>
    <row r="1171" spans="1:8">
      <c r="A1171" s="437" t="s">
        <v>2690</v>
      </c>
      <c r="B1171" s="435"/>
      <c r="D1171" s="434" t="s">
        <v>1229</v>
      </c>
      <c r="E1171" s="435" t="s">
        <v>4522</v>
      </c>
      <c r="G1171" s="437" t="s">
        <v>10338</v>
      </c>
      <c r="H1171" s="435"/>
    </row>
    <row r="1172" spans="1:8">
      <c r="A1172" s="434" t="s">
        <v>2691</v>
      </c>
      <c r="B1172" s="435" t="s">
        <v>2692</v>
      </c>
      <c r="D1172" s="434" t="s">
        <v>4523</v>
      </c>
      <c r="E1172" s="435" t="s">
        <v>4522</v>
      </c>
      <c r="G1172" s="437" t="s">
        <v>10339</v>
      </c>
      <c r="H1172" s="435"/>
    </row>
    <row r="1173" spans="1:8">
      <c r="A1173" s="437" t="s">
        <v>2693</v>
      </c>
      <c r="B1173" s="435"/>
      <c r="D1173" s="437" t="s">
        <v>4524</v>
      </c>
      <c r="E1173" s="435"/>
      <c r="G1173" s="434" t="s">
        <v>10340</v>
      </c>
      <c r="H1173" s="435" t="s">
        <v>10341</v>
      </c>
    </row>
    <row r="1174" spans="1:8">
      <c r="A1174" s="437" t="s">
        <v>2694</v>
      </c>
      <c r="B1174" s="435"/>
      <c r="D1174" s="434" t="s">
        <v>4525</v>
      </c>
      <c r="E1174" s="435" t="s">
        <v>4526</v>
      </c>
      <c r="G1174" s="434" t="s">
        <v>10342</v>
      </c>
      <c r="H1174" s="435" t="s">
        <v>10341</v>
      </c>
    </row>
    <row r="1175" spans="1:8">
      <c r="A1175" s="437" t="s">
        <v>2695</v>
      </c>
      <c r="B1175" s="435"/>
      <c r="D1175" s="437" t="s">
        <v>4527</v>
      </c>
      <c r="E1175" s="435"/>
      <c r="G1175" s="437" t="s">
        <v>10343</v>
      </c>
      <c r="H1175" s="435"/>
    </row>
    <row r="1176" spans="1:8">
      <c r="A1176" s="434" t="s">
        <v>2696</v>
      </c>
      <c r="B1176" s="435" t="s">
        <v>2697</v>
      </c>
      <c r="D1176" s="437" t="s">
        <v>4528</v>
      </c>
      <c r="E1176" s="435"/>
      <c r="G1176" s="437" t="s">
        <v>10344</v>
      </c>
      <c r="H1176" s="435"/>
    </row>
    <row r="1177" spans="1:8">
      <c r="A1177" s="437" t="s">
        <v>2698</v>
      </c>
      <c r="B1177" s="435"/>
      <c r="D1177" s="437" t="s">
        <v>4529</v>
      </c>
      <c r="E1177" s="435"/>
      <c r="G1177" s="437" t="s">
        <v>10345</v>
      </c>
      <c r="H1177" s="435"/>
    </row>
    <row r="1178" spans="1:8">
      <c r="A1178" s="437" t="s">
        <v>2699</v>
      </c>
      <c r="B1178" s="435"/>
      <c r="D1178" s="434" t="s">
        <v>4530</v>
      </c>
      <c r="E1178" s="435" t="s">
        <v>4531</v>
      </c>
      <c r="G1178" s="437" t="s">
        <v>10346</v>
      </c>
      <c r="H1178" s="435"/>
    </row>
    <row r="1179" spans="1:8">
      <c r="A1179" s="437" t="s">
        <v>2700</v>
      </c>
      <c r="B1179" s="435"/>
      <c r="D1179" s="434" t="s">
        <v>4532</v>
      </c>
      <c r="E1179" s="435" t="s">
        <v>4531</v>
      </c>
      <c r="G1179" s="437" t="s">
        <v>10347</v>
      </c>
      <c r="H1179" s="435"/>
    </row>
    <row r="1180" spans="1:8">
      <c r="A1180" s="437" t="s">
        <v>2701</v>
      </c>
      <c r="B1180" s="435"/>
      <c r="D1180" s="437" t="s">
        <v>4533</v>
      </c>
      <c r="E1180" s="435"/>
      <c r="G1180" s="434" t="s">
        <v>10348</v>
      </c>
      <c r="H1180" s="435" t="s">
        <v>10349</v>
      </c>
    </row>
    <row r="1181" spans="1:8">
      <c r="A1181" s="434" t="s">
        <v>2702</v>
      </c>
      <c r="B1181" s="435" t="s">
        <v>2703</v>
      </c>
      <c r="D1181" s="437" t="s">
        <v>4534</v>
      </c>
      <c r="E1181" s="435"/>
      <c r="G1181" s="437" t="s">
        <v>10350</v>
      </c>
      <c r="H1181" s="435"/>
    </row>
    <row r="1182" spans="1:8">
      <c r="A1182" s="434" t="s">
        <v>2704</v>
      </c>
      <c r="B1182" s="435" t="s">
        <v>2703</v>
      </c>
      <c r="D1182" s="437" t="s">
        <v>4535</v>
      </c>
      <c r="E1182" s="435"/>
      <c r="G1182" s="437" t="s">
        <v>10351</v>
      </c>
      <c r="H1182" s="435"/>
    </row>
    <row r="1183" spans="1:8">
      <c r="A1183" s="437" t="s">
        <v>2705</v>
      </c>
      <c r="B1183" s="435"/>
      <c r="D1183" s="437" t="s">
        <v>4536</v>
      </c>
      <c r="E1183" s="435"/>
      <c r="G1183" s="437" t="s">
        <v>10352</v>
      </c>
      <c r="H1183" s="435"/>
    </row>
    <row r="1184" spans="1:8">
      <c r="A1184" s="437" t="s">
        <v>2706</v>
      </c>
      <c r="B1184" s="435"/>
      <c r="D1184" s="434" t="s">
        <v>4537</v>
      </c>
      <c r="E1184" s="435" t="s">
        <v>4531</v>
      </c>
      <c r="G1184" s="434" t="s">
        <v>10353</v>
      </c>
      <c r="H1184" s="435" t="s">
        <v>10354</v>
      </c>
    </row>
    <row r="1185" spans="1:8">
      <c r="A1185" s="437" t="s">
        <v>2707</v>
      </c>
      <c r="B1185" s="435"/>
      <c r="D1185" s="437" t="s">
        <v>4538</v>
      </c>
      <c r="E1185" s="435"/>
      <c r="G1185" s="434" t="s">
        <v>10355</v>
      </c>
      <c r="H1185" s="435" t="s">
        <v>10356</v>
      </c>
    </row>
    <row r="1186" spans="1:8">
      <c r="A1186" s="437" t="s">
        <v>2708</v>
      </c>
      <c r="B1186" s="435"/>
      <c r="D1186" s="434" t="s">
        <v>4539</v>
      </c>
      <c r="E1186" s="435" t="s">
        <v>4540</v>
      </c>
      <c r="G1186" s="434" t="s">
        <v>10357</v>
      </c>
      <c r="H1186" s="435" t="s">
        <v>10356</v>
      </c>
    </row>
    <row r="1187" spans="1:8">
      <c r="A1187" s="437" t="s">
        <v>2709</v>
      </c>
      <c r="B1187" s="435"/>
      <c r="D1187" s="437" t="s">
        <v>4541</v>
      </c>
      <c r="E1187" s="435"/>
      <c r="G1187" s="437" t="s">
        <v>10358</v>
      </c>
      <c r="H1187" s="435"/>
    </row>
    <row r="1188" spans="1:8">
      <c r="A1188" s="437" t="s">
        <v>2710</v>
      </c>
      <c r="B1188" s="435"/>
      <c r="D1188" s="434" t="s">
        <v>4542</v>
      </c>
      <c r="E1188" s="435" t="s">
        <v>4543</v>
      </c>
      <c r="G1188" s="434" t="s">
        <v>10359</v>
      </c>
      <c r="H1188" s="435" t="s">
        <v>10360</v>
      </c>
    </row>
    <row r="1189" spans="1:8">
      <c r="A1189" s="434" t="s">
        <v>2711</v>
      </c>
      <c r="B1189" s="435" t="s">
        <v>2712</v>
      </c>
      <c r="D1189" s="437" t="s">
        <v>4544</v>
      </c>
      <c r="E1189" s="435"/>
      <c r="G1189" s="437" t="s">
        <v>10361</v>
      </c>
      <c r="H1189" s="435"/>
    </row>
    <row r="1190" spans="1:8">
      <c r="A1190" s="437" t="s">
        <v>2713</v>
      </c>
      <c r="B1190" s="435"/>
      <c r="D1190" s="434" t="s">
        <v>4545</v>
      </c>
      <c r="E1190" s="435" t="s">
        <v>4546</v>
      </c>
      <c r="G1190" s="437" t="s">
        <v>10362</v>
      </c>
      <c r="H1190" s="435"/>
    </row>
    <row r="1191" spans="1:8">
      <c r="A1191" s="437" t="s">
        <v>2714</v>
      </c>
      <c r="B1191" s="435"/>
      <c r="D1191" s="434" t="s">
        <v>4547</v>
      </c>
      <c r="E1191" s="435" t="s">
        <v>4546</v>
      </c>
      <c r="G1191" s="437" t="s">
        <v>10363</v>
      </c>
      <c r="H1191" s="435"/>
    </row>
    <row r="1192" spans="1:8">
      <c r="A1192" s="437" t="s">
        <v>2715</v>
      </c>
      <c r="B1192" s="435"/>
      <c r="D1192" s="437" t="s">
        <v>4548</v>
      </c>
      <c r="E1192" s="435"/>
      <c r="G1192" s="437" t="s">
        <v>10364</v>
      </c>
      <c r="H1192" s="435"/>
    </row>
    <row r="1193" spans="1:8">
      <c r="A1193" s="434" t="s">
        <v>2716</v>
      </c>
      <c r="B1193" s="435" t="s">
        <v>2717</v>
      </c>
      <c r="D1193" s="437" t="s">
        <v>4549</v>
      </c>
      <c r="E1193" s="435"/>
      <c r="G1193" s="437" t="s">
        <v>10365</v>
      </c>
      <c r="H1193" s="435"/>
    </row>
    <row r="1194" spans="1:8">
      <c r="A1194" s="437" t="s">
        <v>2718</v>
      </c>
      <c r="B1194" s="435"/>
      <c r="D1194" s="434" t="s">
        <v>4550</v>
      </c>
      <c r="E1194" s="435" t="s">
        <v>4551</v>
      </c>
      <c r="G1194" s="434" t="s">
        <v>10366</v>
      </c>
      <c r="H1194" s="435" t="s">
        <v>10367</v>
      </c>
    </row>
    <row r="1195" spans="1:8">
      <c r="A1195" s="437" t="s">
        <v>2719</v>
      </c>
      <c r="B1195" s="435"/>
      <c r="D1195" s="437" t="s">
        <v>4552</v>
      </c>
      <c r="E1195" s="435"/>
      <c r="G1195" s="437" t="s">
        <v>10368</v>
      </c>
      <c r="H1195" s="435"/>
    </row>
    <row r="1196" spans="1:8">
      <c r="A1196" s="437" t="s">
        <v>2720</v>
      </c>
      <c r="B1196" s="435"/>
      <c r="D1196" s="437" t="s">
        <v>4553</v>
      </c>
      <c r="E1196" s="435"/>
      <c r="G1196" s="437" t="s">
        <v>10369</v>
      </c>
      <c r="H1196" s="435"/>
    </row>
    <row r="1197" spans="1:8">
      <c r="A1197" s="437" t="s">
        <v>2721</v>
      </c>
      <c r="B1197" s="435"/>
      <c r="D1197" s="434" t="s">
        <v>4554</v>
      </c>
      <c r="E1197" s="435" t="s">
        <v>4555</v>
      </c>
      <c r="G1197" s="437" t="s">
        <v>10370</v>
      </c>
      <c r="H1197" s="435"/>
    </row>
    <row r="1198" spans="1:8">
      <c r="A1198" s="434" t="s">
        <v>2722</v>
      </c>
      <c r="B1198" s="435" t="s">
        <v>2723</v>
      </c>
      <c r="D1198" s="437" t="s">
        <v>4556</v>
      </c>
      <c r="E1198" s="435"/>
      <c r="G1198" s="437" t="s">
        <v>10371</v>
      </c>
      <c r="H1198" s="435"/>
    </row>
    <row r="1199" spans="1:8">
      <c r="A1199" s="434" t="s">
        <v>2724</v>
      </c>
      <c r="B1199" s="435" t="s">
        <v>2723</v>
      </c>
      <c r="D1199" s="434" t="s">
        <v>4557</v>
      </c>
      <c r="E1199" s="435" t="s">
        <v>4555</v>
      </c>
      <c r="G1199" s="437" t="s">
        <v>10372</v>
      </c>
      <c r="H1199" s="435"/>
    </row>
    <row r="1200" spans="1:8">
      <c r="A1200" s="434" t="s">
        <v>2725</v>
      </c>
      <c r="B1200" s="435" t="s">
        <v>2723</v>
      </c>
      <c r="D1200" s="437" t="s">
        <v>4558</v>
      </c>
      <c r="E1200" s="435"/>
      <c r="G1200" s="437" t="s">
        <v>10373</v>
      </c>
      <c r="H1200" s="435"/>
    </row>
    <row r="1201" spans="1:8">
      <c r="A1201" s="437" t="s">
        <v>2726</v>
      </c>
      <c r="B1201" s="435"/>
      <c r="D1201" s="437" t="s">
        <v>4559</v>
      </c>
      <c r="E1201" s="435"/>
      <c r="G1201" s="434" t="s">
        <v>10374</v>
      </c>
      <c r="H1201" s="435" t="s">
        <v>10375</v>
      </c>
    </row>
    <row r="1202" spans="1:8">
      <c r="A1202" s="437" t="s">
        <v>2727</v>
      </c>
      <c r="B1202" s="435"/>
      <c r="D1202" s="437" t="s">
        <v>4560</v>
      </c>
      <c r="E1202" s="435"/>
      <c r="G1202" s="434" t="s">
        <v>10376</v>
      </c>
      <c r="H1202" s="435" t="s">
        <v>10377</v>
      </c>
    </row>
    <row r="1203" spans="1:8">
      <c r="A1203" s="437" t="s">
        <v>2728</v>
      </c>
      <c r="B1203" s="435"/>
      <c r="D1203" s="437" t="s">
        <v>4561</v>
      </c>
      <c r="E1203" s="435"/>
      <c r="G1203" s="434" t="s">
        <v>10378</v>
      </c>
      <c r="H1203" s="435" t="s">
        <v>10379</v>
      </c>
    </row>
    <row r="1204" spans="1:8">
      <c r="A1204" s="434" t="s">
        <v>2729</v>
      </c>
      <c r="B1204" s="435" t="s">
        <v>2730</v>
      </c>
      <c r="D1204" s="437" t="s">
        <v>4562</v>
      </c>
      <c r="E1204" s="435"/>
      <c r="G1204" s="437" t="s">
        <v>10380</v>
      </c>
      <c r="H1204" s="435"/>
    </row>
    <row r="1205" spans="1:8">
      <c r="A1205" s="434" t="s">
        <v>2731</v>
      </c>
      <c r="B1205" s="435" t="s">
        <v>2732</v>
      </c>
      <c r="D1205" s="434" t="s">
        <v>4563</v>
      </c>
      <c r="E1205" s="435" t="s">
        <v>4564</v>
      </c>
      <c r="G1205" s="437" t="s">
        <v>10381</v>
      </c>
      <c r="H1205" s="435"/>
    </row>
    <row r="1206" spans="1:8">
      <c r="A1206" s="434" t="s">
        <v>2733</v>
      </c>
      <c r="B1206" s="435" t="s">
        <v>2734</v>
      </c>
      <c r="D1206" s="437" t="s">
        <v>4565</v>
      </c>
      <c r="E1206" s="435"/>
      <c r="G1206" s="434" t="s">
        <v>10382</v>
      </c>
      <c r="H1206" s="435" t="s">
        <v>10383</v>
      </c>
    </row>
    <row r="1207" spans="1:8">
      <c r="A1207" s="434" t="s">
        <v>2735</v>
      </c>
      <c r="B1207" s="435" t="s">
        <v>2734</v>
      </c>
      <c r="D1207" s="434" t="s">
        <v>4566</v>
      </c>
      <c r="E1207" s="435" t="s">
        <v>4564</v>
      </c>
      <c r="G1207" s="434" t="s">
        <v>10384</v>
      </c>
      <c r="H1207" s="435" t="s">
        <v>10383</v>
      </c>
    </row>
    <row r="1208" spans="1:8">
      <c r="A1208" s="434" t="s">
        <v>2736</v>
      </c>
      <c r="B1208" s="435" t="s">
        <v>2737</v>
      </c>
      <c r="D1208" s="437" t="s">
        <v>4567</v>
      </c>
      <c r="E1208" s="435"/>
      <c r="G1208" s="437" t="s">
        <v>10385</v>
      </c>
      <c r="H1208" s="435"/>
    </row>
    <row r="1209" spans="1:8">
      <c r="A1209" s="437" t="s">
        <v>2738</v>
      </c>
      <c r="B1209" s="435"/>
      <c r="D1209" s="437" t="s">
        <v>4568</v>
      </c>
      <c r="E1209" s="435"/>
      <c r="G1209" s="437" t="s">
        <v>10386</v>
      </c>
      <c r="H1209" s="435"/>
    </row>
    <row r="1210" spans="1:8">
      <c r="A1210" s="434" t="s">
        <v>2739</v>
      </c>
      <c r="B1210" s="435" t="s">
        <v>2740</v>
      </c>
      <c r="D1210" s="437" t="s">
        <v>4569</v>
      </c>
      <c r="E1210" s="435"/>
      <c r="G1210" s="437" t="s">
        <v>10387</v>
      </c>
      <c r="H1210" s="435"/>
    </row>
    <row r="1211" spans="1:8">
      <c r="A1211" s="437" t="s">
        <v>2741</v>
      </c>
      <c r="B1211" s="435"/>
      <c r="D1211" s="434" t="s">
        <v>4570</v>
      </c>
      <c r="E1211" s="435" t="s">
        <v>4564</v>
      </c>
      <c r="G1211" s="434" t="s">
        <v>10388</v>
      </c>
      <c r="H1211" s="435" t="s">
        <v>10383</v>
      </c>
    </row>
    <row r="1212" spans="1:8">
      <c r="A1212" s="434" t="s">
        <v>2742</v>
      </c>
      <c r="B1212" s="435"/>
      <c r="D1212" s="437" t="s">
        <v>4571</v>
      </c>
      <c r="E1212" s="435"/>
      <c r="G1212" s="437" t="s">
        <v>10386</v>
      </c>
      <c r="H1212" s="435"/>
    </row>
    <row r="1213" spans="1:8">
      <c r="A1213" s="437" t="s">
        <v>2743</v>
      </c>
      <c r="B1213" s="435"/>
      <c r="D1213" s="434" t="s">
        <v>4572</v>
      </c>
      <c r="E1213" s="435" t="s">
        <v>4573</v>
      </c>
      <c r="G1213" s="437" t="s">
        <v>10389</v>
      </c>
      <c r="H1213" s="435"/>
    </row>
    <row r="1214" spans="1:8">
      <c r="A1214" s="437" t="s">
        <v>2744</v>
      </c>
      <c r="B1214" s="435"/>
      <c r="D1214" s="434" t="s">
        <v>4574</v>
      </c>
      <c r="E1214" s="435" t="s">
        <v>4573</v>
      </c>
      <c r="G1214" s="437" t="s">
        <v>10390</v>
      </c>
      <c r="H1214" s="435"/>
    </row>
    <row r="1215" spans="1:8">
      <c r="A1215" s="434" t="s">
        <v>103</v>
      </c>
      <c r="B1215" s="435" t="s">
        <v>2745</v>
      </c>
      <c r="D1215" s="437" t="s">
        <v>4575</v>
      </c>
      <c r="E1215" s="435"/>
      <c r="G1215" s="434" t="s">
        <v>10391</v>
      </c>
      <c r="H1215" s="435" t="s">
        <v>10392</v>
      </c>
    </row>
    <row r="1216" spans="1:8">
      <c r="A1216" s="437" t="s">
        <v>2746</v>
      </c>
      <c r="B1216" s="435"/>
      <c r="D1216" s="434" t="s">
        <v>4576</v>
      </c>
      <c r="E1216" s="435" t="s">
        <v>4577</v>
      </c>
      <c r="G1216" s="437" t="s">
        <v>10393</v>
      </c>
      <c r="H1216" s="435"/>
    </row>
    <row r="1217" spans="1:8">
      <c r="A1217" s="434" t="s">
        <v>2747</v>
      </c>
      <c r="B1217" s="435" t="s">
        <v>2748</v>
      </c>
      <c r="D1217" s="437" t="s">
        <v>4578</v>
      </c>
      <c r="E1217" s="435"/>
      <c r="G1217" s="437" t="s">
        <v>10394</v>
      </c>
      <c r="H1217" s="435"/>
    </row>
    <row r="1218" spans="1:8">
      <c r="A1218" s="437" t="s">
        <v>2749</v>
      </c>
      <c r="B1218" s="435"/>
      <c r="D1218" s="437" t="s">
        <v>4579</v>
      </c>
      <c r="E1218" s="435"/>
      <c r="G1218" s="437" t="s">
        <v>10395</v>
      </c>
      <c r="H1218" s="435"/>
    </row>
    <row r="1219" spans="1:8">
      <c r="A1219" s="437" t="s">
        <v>2750</v>
      </c>
      <c r="B1219" s="435"/>
      <c r="D1219" s="437" t="s">
        <v>4580</v>
      </c>
      <c r="E1219" s="435"/>
      <c r="G1219" s="434" t="s">
        <v>10396</v>
      </c>
      <c r="H1219" s="435" t="s">
        <v>10397</v>
      </c>
    </row>
    <row r="1220" spans="1:8">
      <c r="A1220" s="434" t="s">
        <v>2751</v>
      </c>
      <c r="B1220" s="435" t="s">
        <v>2752</v>
      </c>
      <c r="D1220" s="434" t="s">
        <v>4581</v>
      </c>
      <c r="E1220" s="435" t="s">
        <v>4582</v>
      </c>
      <c r="G1220" s="434" t="s">
        <v>10398</v>
      </c>
      <c r="H1220" s="435" t="s">
        <v>10397</v>
      </c>
    </row>
    <row r="1221" spans="1:8">
      <c r="A1221" s="434" t="s">
        <v>104</v>
      </c>
      <c r="B1221" s="435" t="s">
        <v>2753</v>
      </c>
      <c r="D1221" s="434" t="s">
        <v>4583</v>
      </c>
      <c r="E1221" s="435" t="s">
        <v>4584</v>
      </c>
      <c r="G1221" s="437" t="s">
        <v>10399</v>
      </c>
      <c r="H1221" s="435"/>
    </row>
    <row r="1222" spans="1:8">
      <c r="A1222" s="437" t="s">
        <v>2754</v>
      </c>
      <c r="B1222" s="435"/>
      <c r="D1222" s="434" t="s">
        <v>4585</v>
      </c>
      <c r="E1222" s="435" t="s">
        <v>4584</v>
      </c>
      <c r="G1222" s="437" t="s">
        <v>10400</v>
      </c>
      <c r="H1222" s="435"/>
    </row>
    <row r="1223" spans="1:8">
      <c r="A1223" s="437" t="s">
        <v>2755</v>
      </c>
      <c r="B1223" s="435"/>
      <c r="D1223" s="437" t="s">
        <v>4586</v>
      </c>
      <c r="E1223" s="435"/>
      <c r="G1223" s="437" t="s">
        <v>10401</v>
      </c>
      <c r="H1223" s="435"/>
    </row>
    <row r="1224" spans="1:8">
      <c r="A1224" s="434" t="s">
        <v>105</v>
      </c>
      <c r="B1224" s="435" t="s">
        <v>2756</v>
      </c>
      <c r="D1224" s="437" t="s">
        <v>4587</v>
      </c>
      <c r="E1224" s="435"/>
      <c r="G1224" s="437" t="s">
        <v>10402</v>
      </c>
      <c r="H1224" s="435"/>
    </row>
    <row r="1225" spans="1:8">
      <c r="A1225" s="437" t="s">
        <v>2757</v>
      </c>
      <c r="B1225" s="435"/>
      <c r="D1225" s="437" t="s">
        <v>4588</v>
      </c>
      <c r="E1225" s="435"/>
      <c r="G1225" s="437" t="s">
        <v>10403</v>
      </c>
      <c r="H1225" s="435"/>
    </row>
    <row r="1226" spans="1:8">
      <c r="A1226" s="437" t="s">
        <v>2758</v>
      </c>
      <c r="B1226" s="435"/>
      <c r="D1226" s="434" t="s">
        <v>4589</v>
      </c>
      <c r="E1226" s="435" t="s">
        <v>4590</v>
      </c>
      <c r="G1226" s="437" t="s">
        <v>10404</v>
      </c>
      <c r="H1226" s="435"/>
    </row>
    <row r="1227" spans="1:8">
      <c r="A1227" s="437" t="s">
        <v>2759</v>
      </c>
      <c r="B1227" s="435"/>
      <c r="D1227" s="437" t="s">
        <v>4591</v>
      </c>
      <c r="E1227" s="435"/>
      <c r="G1227" s="434" t="s">
        <v>10405</v>
      </c>
      <c r="H1227" s="435" t="s">
        <v>10406</v>
      </c>
    </row>
    <row r="1228" spans="1:8">
      <c r="A1228" s="437" t="s">
        <v>2760</v>
      </c>
      <c r="B1228" s="435"/>
      <c r="D1228" s="437" t="s">
        <v>4592</v>
      </c>
      <c r="E1228" s="435"/>
      <c r="G1228" s="434" t="s">
        <v>10407</v>
      </c>
      <c r="H1228" s="435" t="s">
        <v>10406</v>
      </c>
    </row>
    <row r="1229" spans="1:8">
      <c r="A1229" s="437" t="s">
        <v>2761</v>
      </c>
      <c r="B1229" s="435"/>
      <c r="D1229" s="437" t="s">
        <v>4593</v>
      </c>
      <c r="E1229" s="435"/>
      <c r="G1229" s="437" t="s">
        <v>10408</v>
      </c>
      <c r="H1229" s="435"/>
    </row>
    <row r="1230" spans="1:8">
      <c r="A1230" s="437" t="s">
        <v>2762</v>
      </c>
      <c r="B1230" s="435"/>
      <c r="D1230" s="437" t="s">
        <v>4594</v>
      </c>
      <c r="E1230" s="435"/>
      <c r="G1230" s="437" t="s">
        <v>10409</v>
      </c>
      <c r="H1230" s="435"/>
    </row>
    <row r="1231" spans="1:8">
      <c r="A1231" s="434" t="s">
        <v>106</v>
      </c>
      <c r="B1231" s="435" t="s">
        <v>2763</v>
      </c>
      <c r="D1231" s="434" t="s">
        <v>4595</v>
      </c>
      <c r="E1231" s="435" t="s">
        <v>4596</v>
      </c>
      <c r="G1231" s="437" t="s">
        <v>10410</v>
      </c>
      <c r="H1231" s="435"/>
    </row>
    <row r="1232" spans="1:8">
      <c r="A1232" s="437" t="s">
        <v>2764</v>
      </c>
      <c r="B1232" s="435"/>
      <c r="D1232" s="434" t="s">
        <v>4597</v>
      </c>
      <c r="E1232" s="435" t="s">
        <v>4596</v>
      </c>
      <c r="G1232" s="437" t="s">
        <v>10411</v>
      </c>
      <c r="H1232" s="435"/>
    </row>
    <row r="1233" spans="1:8">
      <c r="A1233" s="434" t="s">
        <v>2765</v>
      </c>
      <c r="B1233" s="435" t="s">
        <v>2766</v>
      </c>
      <c r="D1233" s="437" t="s">
        <v>4598</v>
      </c>
      <c r="E1233" s="435"/>
      <c r="G1233" s="437" t="s">
        <v>10412</v>
      </c>
      <c r="H1233" s="435"/>
    </row>
    <row r="1234" spans="1:8">
      <c r="A1234" s="437" t="s">
        <v>2767</v>
      </c>
      <c r="B1234" s="435"/>
      <c r="D1234" s="437" t="s">
        <v>4599</v>
      </c>
      <c r="E1234" s="435"/>
      <c r="G1234" s="434" t="s">
        <v>10413</v>
      </c>
      <c r="H1234" s="435" t="s">
        <v>10414</v>
      </c>
    </row>
    <row r="1235" spans="1:8">
      <c r="A1235" s="437" t="s">
        <v>2768</v>
      </c>
      <c r="B1235" s="435"/>
      <c r="D1235" s="437" t="s">
        <v>4600</v>
      </c>
      <c r="E1235" s="435"/>
      <c r="G1235" s="434" t="s">
        <v>10415</v>
      </c>
      <c r="H1235" s="435" t="s">
        <v>10414</v>
      </c>
    </row>
    <row r="1236" spans="1:8">
      <c r="A1236" s="434" t="s">
        <v>2769</v>
      </c>
      <c r="B1236" s="435" t="s">
        <v>2770</v>
      </c>
      <c r="D1236" s="434" t="s">
        <v>4601</v>
      </c>
      <c r="E1236" s="435" t="s">
        <v>4602</v>
      </c>
      <c r="G1236" s="437" t="s">
        <v>10416</v>
      </c>
      <c r="H1236" s="435"/>
    </row>
    <row r="1237" spans="1:8">
      <c r="A1237" s="437" t="s">
        <v>2771</v>
      </c>
      <c r="B1237" s="435"/>
      <c r="D1237" s="437" t="s">
        <v>4603</v>
      </c>
      <c r="E1237" s="435"/>
      <c r="G1237" s="437" t="s">
        <v>10417</v>
      </c>
      <c r="H1237" s="435"/>
    </row>
    <row r="1238" spans="1:8">
      <c r="A1238" s="437" t="s">
        <v>2772</v>
      </c>
      <c r="B1238" s="435"/>
      <c r="D1238" s="437" t="s">
        <v>4604</v>
      </c>
      <c r="E1238" s="435"/>
      <c r="G1238" s="437" t="s">
        <v>10418</v>
      </c>
      <c r="H1238" s="435"/>
    </row>
    <row r="1239" spans="1:8">
      <c r="A1239" s="434" t="s">
        <v>2773</v>
      </c>
      <c r="B1239" s="435" t="s">
        <v>2774</v>
      </c>
      <c r="D1239" s="437" t="s">
        <v>4605</v>
      </c>
      <c r="E1239" s="435"/>
      <c r="G1239" s="437" t="s">
        <v>10419</v>
      </c>
      <c r="H1239" s="435"/>
    </row>
    <row r="1240" spans="1:8">
      <c r="A1240" s="437" t="s">
        <v>2775</v>
      </c>
      <c r="B1240" s="435"/>
      <c r="D1240" s="434" t="s">
        <v>4606</v>
      </c>
      <c r="E1240" s="435" t="s">
        <v>4607</v>
      </c>
      <c r="G1240" s="437" t="s">
        <v>10420</v>
      </c>
      <c r="H1240" s="435"/>
    </row>
    <row r="1241" spans="1:8">
      <c r="A1241" s="437" t="s">
        <v>2776</v>
      </c>
      <c r="B1241" s="435"/>
      <c r="D1241" s="437" t="s">
        <v>4608</v>
      </c>
      <c r="E1241" s="435"/>
      <c r="G1241" s="434" t="s">
        <v>10421</v>
      </c>
      <c r="H1241" s="435" t="s">
        <v>10422</v>
      </c>
    </row>
    <row r="1242" spans="1:8">
      <c r="A1242" s="437" t="s">
        <v>2777</v>
      </c>
      <c r="B1242" s="435"/>
      <c r="D1242" s="437" t="s">
        <v>4609</v>
      </c>
      <c r="E1242" s="435"/>
      <c r="G1242" s="434" t="s">
        <v>10423</v>
      </c>
      <c r="H1242" s="435" t="s">
        <v>10422</v>
      </c>
    </row>
    <row r="1243" spans="1:8">
      <c r="A1243" s="434" t="s">
        <v>2778</v>
      </c>
      <c r="B1243" s="435" t="s">
        <v>2779</v>
      </c>
      <c r="D1243" s="434" t="s">
        <v>4610</v>
      </c>
      <c r="E1243" s="435" t="s">
        <v>4611</v>
      </c>
      <c r="G1243" s="437" t="s">
        <v>10424</v>
      </c>
      <c r="H1243" s="435"/>
    </row>
    <row r="1244" spans="1:8">
      <c r="A1244" s="437" t="s">
        <v>2780</v>
      </c>
      <c r="B1244" s="435"/>
      <c r="D1244" s="434" t="s">
        <v>4612</v>
      </c>
      <c r="E1244" s="435" t="s">
        <v>4611</v>
      </c>
      <c r="G1244" s="437" t="s">
        <v>10425</v>
      </c>
      <c r="H1244" s="435"/>
    </row>
    <row r="1245" spans="1:8">
      <c r="A1245" s="437" t="s">
        <v>2781</v>
      </c>
      <c r="B1245" s="435"/>
      <c r="D1245" s="437" t="s">
        <v>4613</v>
      </c>
      <c r="E1245" s="435"/>
      <c r="G1245" s="437" t="s">
        <v>10426</v>
      </c>
      <c r="H1245" s="435"/>
    </row>
    <row r="1246" spans="1:8">
      <c r="A1246" s="437" t="s">
        <v>2782</v>
      </c>
      <c r="B1246" s="435"/>
      <c r="D1246" s="434" t="s">
        <v>4614</v>
      </c>
      <c r="E1246" s="435" t="s">
        <v>4611</v>
      </c>
      <c r="G1246" s="437" t="s">
        <v>10427</v>
      </c>
      <c r="H1246" s="435"/>
    </row>
    <row r="1247" spans="1:8">
      <c r="A1247" s="434" t="s">
        <v>107</v>
      </c>
      <c r="B1247" s="435" t="s">
        <v>2783</v>
      </c>
      <c r="D1247" s="437" t="s">
        <v>4615</v>
      </c>
      <c r="E1247" s="435"/>
      <c r="G1247" s="437" t="s">
        <v>10428</v>
      </c>
      <c r="H1247" s="435"/>
    </row>
    <row r="1248" spans="1:8">
      <c r="A1248" s="437" t="s">
        <v>2784</v>
      </c>
      <c r="B1248" s="435"/>
      <c r="D1248" s="437" t="s">
        <v>4616</v>
      </c>
      <c r="E1248" s="435"/>
      <c r="G1248" s="437" t="s">
        <v>10429</v>
      </c>
      <c r="H1248" s="435"/>
    </row>
    <row r="1249" spans="1:8">
      <c r="A1249" s="434" t="s">
        <v>2785</v>
      </c>
      <c r="B1249" s="435" t="s">
        <v>2786</v>
      </c>
      <c r="D1249" s="437" t="s">
        <v>4617</v>
      </c>
      <c r="E1249" s="435"/>
      <c r="G1249" s="437" t="s">
        <v>10430</v>
      </c>
      <c r="H1249" s="435"/>
    </row>
    <row r="1250" spans="1:8">
      <c r="A1250" s="437" t="s">
        <v>2787</v>
      </c>
      <c r="B1250" s="435"/>
      <c r="D1250" s="437" t="s">
        <v>4618</v>
      </c>
      <c r="E1250" s="435"/>
      <c r="G1250" s="437" t="s">
        <v>10431</v>
      </c>
      <c r="H1250" s="435"/>
    </row>
    <row r="1251" spans="1:8">
      <c r="A1251" s="437" t="s">
        <v>2788</v>
      </c>
      <c r="B1251" s="435"/>
      <c r="D1251" s="434" t="s">
        <v>4619</v>
      </c>
      <c r="E1251" s="435" t="s">
        <v>4620</v>
      </c>
      <c r="G1251" s="437" t="s">
        <v>10432</v>
      </c>
      <c r="H1251" s="435"/>
    </row>
    <row r="1252" spans="1:8">
      <c r="A1252" s="437" t="s">
        <v>2789</v>
      </c>
      <c r="B1252" s="435"/>
      <c r="D1252" s="437" t="s">
        <v>4621</v>
      </c>
      <c r="E1252" s="435"/>
      <c r="G1252" s="437" t="s">
        <v>10433</v>
      </c>
      <c r="H1252" s="435"/>
    </row>
    <row r="1253" spans="1:8">
      <c r="A1253" s="434" t="s">
        <v>2790</v>
      </c>
      <c r="B1253" s="435" t="s">
        <v>2791</v>
      </c>
      <c r="D1253" s="437" t="s">
        <v>4622</v>
      </c>
      <c r="E1253" s="435"/>
      <c r="G1253" s="437" t="s">
        <v>10434</v>
      </c>
      <c r="H1253" s="435"/>
    </row>
    <row r="1254" spans="1:8">
      <c r="A1254" s="434" t="s">
        <v>2792</v>
      </c>
      <c r="B1254" s="435" t="s">
        <v>2793</v>
      </c>
      <c r="D1254" s="434" t="s">
        <v>4623</v>
      </c>
      <c r="E1254" s="435" t="s">
        <v>4624</v>
      </c>
      <c r="G1254" s="437" t="s">
        <v>10435</v>
      </c>
      <c r="H1254" s="435"/>
    </row>
    <row r="1255" spans="1:8">
      <c r="A1255" s="437" t="s">
        <v>2794</v>
      </c>
      <c r="B1255" s="435"/>
      <c r="D1255" s="434" t="s">
        <v>4625</v>
      </c>
      <c r="E1255" s="435" t="s">
        <v>4624</v>
      </c>
      <c r="G1255" s="434" t="s">
        <v>10436</v>
      </c>
      <c r="H1255" s="435"/>
    </row>
    <row r="1256" spans="1:8">
      <c r="A1256" s="437" t="s">
        <v>2795</v>
      </c>
      <c r="B1256" s="435"/>
      <c r="D1256" s="437" t="s">
        <v>4626</v>
      </c>
      <c r="E1256" s="435"/>
      <c r="G1256" s="434" t="s">
        <v>10437</v>
      </c>
      <c r="H1256" s="435" t="s">
        <v>10438</v>
      </c>
    </row>
    <row r="1257" spans="1:8">
      <c r="A1257" s="434" t="s">
        <v>2796</v>
      </c>
      <c r="B1257" s="435" t="s">
        <v>2797</v>
      </c>
      <c r="D1257" s="437" t="s">
        <v>4627</v>
      </c>
      <c r="E1257" s="435"/>
      <c r="G1257" s="437" t="s">
        <v>10439</v>
      </c>
      <c r="H1257" s="435"/>
    </row>
    <row r="1258" spans="1:8">
      <c r="A1258" s="437" t="s">
        <v>2798</v>
      </c>
      <c r="B1258" s="435"/>
      <c r="D1258" s="434" t="s">
        <v>4628</v>
      </c>
      <c r="E1258" s="435" t="s">
        <v>4629</v>
      </c>
      <c r="G1258" s="437" t="s">
        <v>10440</v>
      </c>
      <c r="H1258" s="435"/>
    </row>
    <row r="1259" spans="1:8">
      <c r="A1259" s="437" t="s">
        <v>2799</v>
      </c>
      <c r="B1259" s="435"/>
      <c r="D1259" s="437" t="s">
        <v>4630</v>
      </c>
      <c r="E1259" s="435"/>
      <c r="G1259" s="437" t="s">
        <v>10441</v>
      </c>
      <c r="H1259" s="435"/>
    </row>
    <row r="1260" spans="1:8">
      <c r="A1260" s="437" t="s">
        <v>2800</v>
      </c>
      <c r="B1260" s="435"/>
      <c r="D1260" s="434" t="s">
        <v>4631</v>
      </c>
      <c r="E1260" s="435" t="s">
        <v>4632</v>
      </c>
      <c r="G1260" s="434" t="s">
        <v>10442</v>
      </c>
      <c r="H1260" s="435"/>
    </row>
    <row r="1261" spans="1:8">
      <c r="A1261" s="437" t="s">
        <v>2801</v>
      </c>
      <c r="B1261" s="435"/>
      <c r="D1261" s="434" t="s">
        <v>4633</v>
      </c>
      <c r="E1261" s="435" t="s">
        <v>4632</v>
      </c>
      <c r="G1261" s="434" t="s">
        <v>10443</v>
      </c>
      <c r="H1261" s="435" t="s">
        <v>10444</v>
      </c>
    </row>
    <row r="1262" spans="1:8">
      <c r="A1262" s="437" t="s">
        <v>2802</v>
      </c>
      <c r="B1262" s="435"/>
      <c r="D1262" s="437" t="s">
        <v>4634</v>
      </c>
      <c r="E1262" s="435"/>
      <c r="G1262" s="434" t="s">
        <v>10445</v>
      </c>
      <c r="H1262" s="435" t="s">
        <v>10444</v>
      </c>
    </row>
    <row r="1263" spans="1:8">
      <c r="A1263" s="437" t="s">
        <v>2803</v>
      </c>
      <c r="B1263" s="435"/>
      <c r="D1263" s="437" t="s">
        <v>4635</v>
      </c>
      <c r="E1263" s="435"/>
      <c r="G1263" s="434" t="s">
        <v>10446</v>
      </c>
      <c r="H1263" s="435" t="s">
        <v>10447</v>
      </c>
    </row>
    <row r="1264" spans="1:8">
      <c r="A1264" s="434" t="s">
        <v>2804</v>
      </c>
      <c r="B1264" s="435" t="s">
        <v>2805</v>
      </c>
      <c r="D1264" s="437" t="s">
        <v>4636</v>
      </c>
      <c r="E1264" s="435"/>
      <c r="G1264" s="434" t="s">
        <v>10448</v>
      </c>
      <c r="H1264" s="435" t="s">
        <v>10447</v>
      </c>
    </row>
    <row r="1265" spans="1:8">
      <c r="A1265" s="434" t="s">
        <v>2806</v>
      </c>
      <c r="B1265" s="435" t="s">
        <v>2805</v>
      </c>
      <c r="D1265" s="437" t="s">
        <v>4637</v>
      </c>
      <c r="E1265" s="435"/>
      <c r="G1265" s="437" t="s">
        <v>10449</v>
      </c>
      <c r="H1265" s="435"/>
    </row>
    <row r="1266" spans="1:8">
      <c r="A1266" s="437" t="s">
        <v>2807</v>
      </c>
      <c r="B1266" s="435"/>
      <c r="D1266" s="437" t="s">
        <v>4638</v>
      </c>
      <c r="E1266" s="435"/>
      <c r="G1266" s="437" t="s">
        <v>10450</v>
      </c>
      <c r="H1266" s="435"/>
    </row>
    <row r="1267" spans="1:8">
      <c r="A1267" s="434" t="s">
        <v>2808</v>
      </c>
      <c r="B1267" s="435" t="s">
        <v>2809</v>
      </c>
      <c r="D1267" s="437" t="s">
        <v>4639</v>
      </c>
      <c r="E1267" s="435"/>
      <c r="G1267" s="437" t="s">
        <v>10451</v>
      </c>
      <c r="H1267" s="435"/>
    </row>
    <row r="1268" spans="1:8">
      <c r="A1268" s="437" t="s">
        <v>2810</v>
      </c>
      <c r="B1268" s="435"/>
      <c r="D1268" s="434" t="s">
        <v>4640</v>
      </c>
      <c r="E1268" s="435" t="s">
        <v>4641</v>
      </c>
      <c r="G1268" s="437" t="s">
        <v>10452</v>
      </c>
      <c r="H1268" s="435"/>
    </row>
    <row r="1269" spans="1:8">
      <c r="A1269" s="434" t="s">
        <v>2811</v>
      </c>
      <c r="B1269" s="435" t="s">
        <v>2812</v>
      </c>
      <c r="D1269" s="437" t="s">
        <v>4642</v>
      </c>
      <c r="E1269" s="435"/>
      <c r="G1269" s="437" t="s">
        <v>10453</v>
      </c>
      <c r="H1269" s="435"/>
    </row>
    <row r="1270" spans="1:8">
      <c r="A1270" s="437" t="s">
        <v>2813</v>
      </c>
      <c r="B1270" s="435"/>
      <c r="D1270" s="437" t="s">
        <v>4643</v>
      </c>
      <c r="E1270" s="435"/>
      <c r="G1270" s="437" t="s">
        <v>10454</v>
      </c>
      <c r="H1270" s="435"/>
    </row>
    <row r="1271" spans="1:8">
      <c r="A1271" s="437" t="s">
        <v>2814</v>
      </c>
      <c r="B1271" s="435"/>
      <c r="D1271" s="437" t="s">
        <v>4644</v>
      </c>
      <c r="E1271" s="435"/>
      <c r="G1271" s="437" t="s">
        <v>10455</v>
      </c>
      <c r="H1271" s="435"/>
    </row>
    <row r="1272" spans="1:8">
      <c r="A1272" s="434" t="s">
        <v>2815</v>
      </c>
      <c r="B1272" s="435" t="s">
        <v>2816</v>
      </c>
      <c r="D1272" s="437" t="s">
        <v>4645</v>
      </c>
      <c r="E1272" s="435"/>
      <c r="G1272" s="437" t="s">
        <v>10456</v>
      </c>
      <c r="H1272" s="435"/>
    </row>
    <row r="1273" spans="1:8">
      <c r="A1273" s="434" t="s">
        <v>2817</v>
      </c>
      <c r="B1273" s="435" t="s">
        <v>2818</v>
      </c>
      <c r="D1273" s="434" t="s">
        <v>4646</v>
      </c>
      <c r="E1273" s="435" t="s">
        <v>4647</v>
      </c>
      <c r="G1273" s="437" t="s">
        <v>10457</v>
      </c>
      <c r="H1273" s="435"/>
    </row>
    <row r="1274" spans="1:8">
      <c r="A1274" s="437" t="s">
        <v>2819</v>
      </c>
      <c r="B1274" s="435"/>
      <c r="D1274" s="434" t="s">
        <v>4648</v>
      </c>
      <c r="E1274" s="435" t="s">
        <v>4647</v>
      </c>
      <c r="G1274" s="437" t="s">
        <v>10458</v>
      </c>
      <c r="H1274" s="435"/>
    </row>
    <row r="1275" spans="1:8">
      <c r="A1275" s="437" t="s">
        <v>2820</v>
      </c>
      <c r="B1275" s="435"/>
      <c r="D1275" s="434" t="s">
        <v>4649</v>
      </c>
      <c r="E1275" s="435" t="s">
        <v>4650</v>
      </c>
      <c r="G1275" s="437" t="s">
        <v>10459</v>
      </c>
      <c r="H1275" s="435"/>
    </row>
    <row r="1276" spans="1:8">
      <c r="A1276" s="437" t="s">
        <v>2821</v>
      </c>
      <c r="B1276" s="435"/>
      <c r="D1276" s="434" t="s">
        <v>4651</v>
      </c>
      <c r="E1276" s="435" t="s">
        <v>4650</v>
      </c>
      <c r="G1276" s="434" t="s">
        <v>10460</v>
      </c>
      <c r="H1276" s="435" t="s">
        <v>10461</v>
      </c>
    </row>
    <row r="1277" spans="1:8">
      <c r="A1277" s="437" t="s">
        <v>2822</v>
      </c>
      <c r="B1277" s="435"/>
      <c r="D1277" s="434" t="s">
        <v>4652</v>
      </c>
      <c r="E1277" s="435" t="s">
        <v>4653</v>
      </c>
      <c r="G1277" s="437" t="s">
        <v>10462</v>
      </c>
      <c r="H1277" s="435"/>
    </row>
    <row r="1278" spans="1:8">
      <c r="A1278" s="434" t="s">
        <v>872</v>
      </c>
      <c r="B1278" s="435" t="s">
        <v>2823</v>
      </c>
      <c r="D1278" s="437" t="s">
        <v>4654</v>
      </c>
      <c r="E1278" s="435"/>
      <c r="G1278" s="437" t="s">
        <v>10463</v>
      </c>
      <c r="H1278" s="435"/>
    </row>
    <row r="1279" spans="1:8">
      <c r="A1279" s="434" t="s">
        <v>2824</v>
      </c>
      <c r="B1279" s="435" t="s">
        <v>2823</v>
      </c>
      <c r="D1279" s="434" t="s">
        <v>4655</v>
      </c>
      <c r="E1279" s="435" t="s">
        <v>4656</v>
      </c>
      <c r="G1279" s="437" t="s">
        <v>10464</v>
      </c>
      <c r="H1279" s="435"/>
    </row>
    <row r="1280" spans="1:8">
      <c r="A1280" s="437" t="s">
        <v>2825</v>
      </c>
      <c r="B1280" s="435"/>
      <c r="D1280" s="434" t="s">
        <v>4657</v>
      </c>
      <c r="E1280" s="435" t="s">
        <v>4658</v>
      </c>
      <c r="G1280" s="437" t="s">
        <v>10465</v>
      </c>
      <c r="H1280" s="435"/>
    </row>
    <row r="1281" spans="1:8">
      <c r="A1281" s="437" t="s">
        <v>2826</v>
      </c>
      <c r="B1281" s="435"/>
      <c r="D1281" s="434" t="s">
        <v>4659</v>
      </c>
      <c r="E1281" s="435" t="s">
        <v>4658</v>
      </c>
      <c r="G1281" s="437" t="s">
        <v>10466</v>
      </c>
      <c r="H1281" s="435"/>
    </row>
    <row r="1282" spans="1:8">
      <c r="A1282" s="434" t="s">
        <v>108</v>
      </c>
      <c r="B1282" s="435" t="s">
        <v>2827</v>
      </c>
      <c r="D1282" s="434" t="s">
        <v>4660</v>
      </c>
      <c r="E1282" s="435" t="s">
        <v>4661</v>
      </c>
      <c r="G1282" s="437" t="s">
        <v>10467</v>
      </c>
      <c r="H1282" s="435"/>
    </row>
    <row r="1283" spans="1:8">
      <c r="A1283" s="437" t="s">
        <v>2828</v>
      </c>
      <c r="B1283" s="435"/>
      <c r="D1283" s="437" t="s">
        <v>4662</v>
      </c>
      <c r="E1283" s="435"/>
      <c r="G1283" s="437" t="s">
        <v>10468</v>
      </c>
      <c r="H1283" s="435"/>
    </row>
    <row r="1284" spans="1:8">
      <c r="A1284" s="437" t="s">
        <v>2829</v>
      </c>
      <c r="B1284" s="435"/>
      <c r="D1284" s="434" t="s">
        <v>4663</v>
      </c>
      <c r="E1284" s="435" t="s">
        <v>4664</v>
      </c>
      <c r="G1284" s="437" t="s">
        <v>10469</v>
      </c>
      <c r="H1284" s="435"/>
    </row>
    <row r="1285" spans="1:8">
      <c r="A1285" s="437" t="s">
        <v>2830</v>
      </c>
      <c r="B1285" s="435"/>
      <c r="D1285" s="434" t="s">
        <v>4665</v>
      </c>
      <c r="E1285" s="435" t="s">
        <v>4666</v>
      </c>
      <c r="G1285" s="437" t="s">
        <v>10470</v>
      </c>
      <c r="H1285" s="435"/>
    </row>
    <row r="1286" spans="1:8">
      <c r="A1286" s="437" t="s">
        <v>2831</v>
      </c>
      <c r="B1286" s="435"/>
      <c r="D1286" s="437" t="s">
        <v>4667</v>
      </c>
      <c r="E1286" s="435"/>
      <c r="G1286" s="434" t="s">
        <v>10471</v>
      </c>
      <c r="H1286" s="435" t="s">
        <v>10472</v>
      </c>
    </row>
    <row r="1287" spans="1:8">
      <c r="A1287" s="437" t="s">
        <v>2832</v>
      </c>
      <c r="B1287" s="435"/>
      <c r="D1287" s="434" t="s">
        <v>4668</v>
      </c>
      <c r="E1287" s="435" t="s">
        <v>4669</v>
      </c>
      <c r="G1287" s="434" t="s">
        <v>10473</v>
      </c>
      <c r="H1287" s="435" t="s">
        <v>10472</v>
      </c>
    </row>
    <row r="1288" spans="1:8">
      <c r="A1288" s="437" t="s">
        <v>2833</v>
      </c>
      <c r="B1288" s="435"/>
      <c r="D1288" s="437" t="s">
        <v>4670</v>
      </c>
      <c r="E1288" s="435"/>
      <c r="G1288" s="437" t="s">
        <v>10474</v>
      </c>
      <c r="H1288" s="435"/>
    </row>
    <row r="1289" spans="1:8">
      <c r="A1289" s="437" t="s">
        <v>2834</v>
      </c>
      <c r="B1289" s="435"/>
      <c r="D1289" s="434" t="s">
        <v>4671</v>
      </c>
      <c r="E1289" s="435" t="s">
        <v>4672</v>
      </c>
      <c r="G1289" s="437" t="s">
        <v>10475</v>
      </c>
      <c r="H1289" s="435"/>
    </row>
    <row r="1290" spans="1:8">
      <c r="A1290" s="434" t="s">
        <v>109</v>
      </c>
      <c r="B1290" s="435" t="s">
        <v>2835</v>
      </c>
      <c r="D1290" s="437" t="s">
        <v>4673</v>
      </c>
      <c r="E1290" s="435"/>
      <c r="G1290" s="437" t="s">
        <v>10476</v>
      </c>
      <c r="H1290" s="435"/>
    </row>
    <row r="1291" spans="1:8">
      <c r="A1291" s="437" t="s">
        <v>2836</v>
      </c>
      <c r="B1291" s="435"/>
      <c r="D1291" s="437" t="s">
        <v>4674</v>
      </c>
      <c r="E1291" s="435"/>
      <c r="G1291" s="437" t="s">
        <v>10477</v>
      </c>
      <c r="H1291" s="435"/>
    </row>
    <row r="1292" spans="1:8">
      <c r="A1292" s="437" t="s">
        <v>2837</v>
      </c>
      <c r="B1292" s="435"/>
      <c r="D1292" s="434" t="s">
        <v>4675</v>
      </c>
      <c r="E1292" s="435" t="s">
        <v>4676</v>
      </c>
      <c r="G1292" s="437" t="s">
        <v>10478</v>
      </c>
      <c r="H1292" s="435"/>
    </row>
    <row r="1293" spans="1:8">
      <c r="A1293" s="437" t="s">
        <v>2838</v>
      </c>
      <c r="B1293" s="435"/>
      <c r="D1293" s="437" t="s">
        <v>4677</v>
      </c>
      <c r="E1293" s="435"/>
      <c r="G1293" s="437" t="s">
        <v>10479</v>
      </c>
      <c r="H1293" s="435"/>
    </row>
    <row r="1294" spans="1:8">
      <c r="A1294" s="437" t="s">
        <v>2839</v>
      </c>
      <c r="B1294" s="435"/>
      <c r="D1294" s="434" t="s">
        <v>4678</v>
      </c>
      <c r="E1294" s="435" t="s">
        <v>4679</v>
      </c>
      <c r="G1294" s="437" t="s">
        <v>10480</v>
      </c>
      <c r="H1294" s="435"/>
    </row>
    <row r="1295" spans="1:8">
      <c r="A1295" s="437" t="s">
        <v>2840</v>
      </c>
      <c r="B1295" s="435"/>
      <c r="D1295" s="434" t="s">
        <v>4680</v>
      </c>
      <c r="E1295" s="435" t="s">
        <v>4679</v>
      </c>
      <c r="G1295" s="437" t="s">
        <v>10481</v>
      </c>
      <c r="H1295" s="435"/>
    </row>
    <row r="1296" spans="1:8">
      <c r="A1296" s="437" t="s">
        <v>2841</v>
      </c>
      <c r="B1296" s="435"/>
      <c r="D1296" s="434" t="s">
        <v>4681</v>
      </c>
      <c r="E1296" s="435" t="s">
        <v>4682</v>
      </c>
      <c r="G1296" s="437" t="s">
        <v>10482</v>
      </c>
      <c r="H1296" s="435"/>
    </row>
    <row r="1297" spans="1:8">
      <c r="A1297" s="437" t="s">
        <v>2842</v>
      </c>
      <c r="B1297" s="435"/>
      <c r="D1297" s="437" t="s">
        <v>4683</v>
      </c>
      <c r="E1297" s="435"/>
      <c r="G1297" s="437" t="s">
        <v>10483</v>
      </c>
      <c r="H1297" s="435"/>
    </row>
    <row r="1298" spans="1:8">
      <c r="A1298" s="437" t="s">
        <v>2843</v>
      </c>
      <c r="B1298" s="435"/>
      <c r="D1298" s="434" t="s">
        <v>4684</v>
      </c>
      <c r="E1298" s="435" t="s">
        <v>4685</v>
      </c>
      <c r="G1298" s="437" t="s">
        <v>10484</v>
      </c>
      <c r="H1298" s="435"/>
    </row>
    <row r="1299" spans="1:8">
      <c r="A1299" s="437" t="s">
        <v>2844</v>
      </c>
      <c r="B1299" s="435"/>
      <c r="D1299" s="437" t="s">
        <v>4686</v>
      </c>
      <c r="E1299" s="435"/>
      <c r="G1299" s="434" t="s">
        <v>10485</v>
      </c>
      <c r="H1299" s="435" t="s">
        <v>10486</v>
      </c>
    </row>
    <row r="1300" spans="1:8">
      <c r="A1300" s="437" t="s">
        <v>2845</v>
      </c>
      <c r="B1300" s="435"/>
      <c r="D1300" s="434" t="s">
        <v>4687</v>
      </c>
      <c r="E1300" s="435" t="s">
        <v>4688</v>
      </c>
      <c r="G1300" s="437" t="s">
        <v>10487</v>
      </c>
      <c r="H1300" s="435"/>
    </row>
    <row r="1301" spans="1:8">
      <c r="A1301" s="437" t="s">
        <v>2846</v>
      </c>
      <c r="B1301" s="435"/>
      <c r="D1301" s="434" t="s">
        <v>4689</v>
      </c>
      <c r="E1301" s="435" t="s">
        <v>4690</v>
      </c>
      <c r="G1301" s="437" t="s">
        <v>10488</v>
      </c>
      <c r="H1301" s="435"/>
    </row>
    <row r="1302" spans="1:8">
      <c r="A1302" s="437" t="s">
        <v>2847</v>
      </c>
      <c r="B1302" s="435"/>
      <c r="D1302" s="434" t="s">
        <v>4691</v>
      </c>
      <c r="E1302" s="435" t="s">
        <v>4690</v>
      </c>
      <c r="G1302" s="437" t="s">
        <v>10489</v>
      </c>
      <c r="H1302" s="435"/>
    </row>
    <row r="1303" spans="1:8">
      <c r="A1303" s="437" t="s">
        <v>2848</v>
      </c>
      <c r="B1303" s="435"/>
      <c r="D1303" s="437" t="s">
        <v>4692</v>
      </c>
      <c r="E1303" s="435"/>
      <c r="G1303" s="437" t="s">
        <v>10490</v>
      </c>
      <c r="H1303" s="435"/>
    </row>
    <row r="1304" spans="1:8">
      <c r="A1304" s="437" t="s">
        <v>2849</v>
      </c>
      <c r="B1304" s="435"/>
      <c r="D1304" s="437" t="s">
        <v>4693</v>
      </c>
      <c r="E1304" s="435"/>
      <c r="G1304" s="437" t="s">
        <v>10491</v>
      </c>
      <c r="H1304" s="435"/>
    </row>
    <row r="1305" spans="1:8">
      <c r="A1305" s="437" t="s">
        <v>2850</v>
      </c>
      <c r="B1305" s="435"/>
      <c r="D1305" s="437" t="s">
        <v>4694</v>
      </c>
      <c r="E1305" s="435"/>
      <c r="G1305" s="437" t="s">
        <v>10492</v>
      </c>
      <c r="H1305" s="435"/>
    </row>
    <row r="1306" spans="1:8">
      <c r="A1306" s="437" t="s">
        <v>2851</v>
      </c>
      <c r="B1306" s="435"/>
      <c r="D1306" s="437" t="s">
        <v>4695</v>
      </c>
      <c r="E1306" s="435"/>
      <c r="G1306" s="437" t="s">
        <v>10493</v>
      </c>
      <c r="H1306" s="435"/>
    </row>
    <row r="1307" spans="1:8">
      <c r="A1307" s="437" t="s">
        <v>2852</v>
      </c>
      <c r="B1307" s="435"/>
      <c r="D1307" s="437" t="s">
        <v>4696</v>
      </c>
      <c r="E1307" s="435"/>
      <c r="G1307" s="437" t="s">
        <v>10494</v>
      </c>
      <c r="H1307" s="435"/>
    </row>
    <row r="1308" spans="1:8">
      <c r="A1308" s="437" t="s">
        <v>2853</v>
      </c>
      <c r="B1308" s="435"/>
      <c r="D1308" s="434" t="s">
        <v>4697</v>
      </c>
      <c r="E1308" s="435" t="s">
        <v>4698</v>
      </c>
      <c r="G1308" s="437" t="s">
        <v>10495</v>
      </c>
      <c r="H1308" s="435"/>
    </row>
    <row r="1309" spans="1:8">
      <c r="A1309" s="437" t="s">
        <v>2854</v>
      </c>
      <c r="B1309" s="435"/>
      <c r="D1309" s="434" t="s">
        <v>4699</v>
      </c>
      <c r="E1309" s="435" t="s">
        <v>4700</v>
      </c>
      <c r="G1309" s="437" t="s">
        <v>10496</v>
      </c>
      <c r="H1309" s="435"/>
    </row>
    <row r="1310" spans="1:8">
      <c r="A1310" s="437" t="s">
        <v>2855</v>
      </c>
      <c r="B1310" s="435"/>
      <c r="D1310" s="437" t="s">
        <v>4701</v>
      </c>
      <c r="E1310" s="435"/>
      <c r="G1310" s="437" t="s">
        <v>10497</v>
      </c>
      <c r="H1310" s="435"/>
    </row>
    <row r="1311" spans="1:8">
      <c r="A1311" s="437" t="s">
        <v>2856</v>
      </c>
      <c r="B1311" s="435"/>
      <c r="D1311" s="434" t="s">
        <v>4702</v>
      </c>
      <c r="E1311" s="435" t="s">
        <v>4703</v>
      </c>
      <c r="G1311" s="437" t="s">
        <v>10498</v>
      </c>
      <c r="H1311" s="435"/>
    </row>
    <row r="1312" spans="1:8">
      <c r="A1312" s="437" t="s">
        <v>2857</v>
      </c>
      <c r="B1312" s="435"/>
      <c r="D1312" s="434" t="s">
        <v>4704</v>
      </c>
      <c r="E1312" s="435" t="s">
        <v>4703</v>
      </c>
      <c r="G1312" s="434" t="s">
        <v>10499</v>
      </c>
      <c r="H1312" s="435" t="s">
        <v>10500</v>
      </c>
    </row>
    <row r="1313" spans="1:8">
      <c r="A1313" s="437" t="s">
        <v>2858</v>
      </c>
      <c r="B1313" s="435"/>
      <c r="D1313" s="437" t="s">
        <v>4705</v>
      </c>
      <c r="E1313" s="435"/>
      <c r="G1313" s="434" t="s">
        <v>10501</v>
      </c>
      <c r="H1313" s="435" t="s">
        <v>10502</v>
      </c>
    </row>
    <row r="1314" spans="1:8">
      <c r="A1314" s="434" t="s">
        <v>2859</v>
      </c>
      <c r="B1314" s="435" t="s">
        <v>2860</v>
      </c>
      <c r="D1314" s="437" t="s">
        <v>4706</v>
      </c>
      <c r="E1314" s="435"/>
      <c r="G1314" s="437" t="s">
        <v>10503</v>
      </c>
      <c r="H1314" s="435"/>
    </row>
    <row r="1315" spans="1:8">
      <c r="A1315" s="437" t="s">
        <v>2861</v>
      </c>
      <c r="B1315" s="435"/>
      <c r="D1315" s="437" t="s">
        <v>4707</v>
      </c>
      <c r="E1315" s="435"/>
      <c r="G1315" s="437" t="s">
        <v>10504</v>
      </c>
      <c r="H1315" s="435"/>
    </row>
    <row r="1316" spans="1:8">
      <c r="A1316" s="437" t="s">
        <v>2862</v>
      </c>
      <c r="B1316" s="435"/>
      <c r="D1316" s="437" t="s">
        <v>4708</v>
      </c>
      <c r="E1316" s="435"/>
      <c r="G1316" s="434" t="s">
        <v>10505</v>
      </c>
      <c r="H1316" s="435" t="s">
        <v>10506</v>
      </c>
    </row>
    <row r="1317" spans="1:8">
      <c r="A1317" s="437" t="s">
        <v>2863</v>
      </c>
      <c r="B1317" s="435"/>
      <c r="D1317" s="437" t="s">
        <v>4709</v>
      </c>
      <c r="E1317" s="435"/>
      <c r="G1317" s="437" t="s">
        <v>10507</v>
      </c>
      <c r="H1317" s="435"/>
    </row>
    <row r="1318" spans="1:8">
      <c r="A1318" s="434" t="s">
        <v>2864</v>
      </c>
      <c r="B1318" s="435" t="s">
        <v>2865</v>
      </c>
      <c r="D1318" s="434" t="s">
        <v>4710</v>
      </c>
      <c r="E1318" s="435" t="s">
        <v>4711</v>
      </c>
      <c r="G1318" s="437" t="s">
        <v>10508</v>
      </c>
      <c r="H1318" s="435"/>
    </row>
    <row r="1319" spans="1:8">
      <c r="A1319" s="437" t="s">
        <v>2866</v>
      </c>
      <c r="B1319" s="435"/>
      <c r="D1319" s="434" t="s">
        <v>4712</v>
      </c>
      <c r="E1319" s="435" t="s">
        <v>4713</v>
      </c>
      <c r="G1319" s="437" t="s">
        <v>10509</v>
      </c>
      <c r="H1319" s="435"/>
    </row>
    <row r="1320" spans="1:8">
      <c r="A1320" s="437" t="s">
        <v>2867</v>
      </c>
      <c r="B1320" s="435"/>
      <c r="D1320" s="437" t="s">
        <v>4714</v>
      </c>
      <c r="E1320" s="435"/>
      <c r="G1320" s="437" t="s">
        <v>10510</v>
      </c>
      <c r="H1320" s="435"/>
    </row>
    <row r="1321" spans="1:8">
      <c r="A1321" s="437" t="s">
        <v>2868</v>
      </c>
      <c r="B1321" s="435"/>
      <c r="D1321" s="434" t="s">
        <v>4715</v>
      </c>
      <c r="E1321" s="435" t="s">
        <v>4716</v>
      </c>
      <c r="G1321" s="437" t="s">
        <v>10511</v>
      </c>
      <c r="H1321" s="435"/>
    </row>
    <row r="1322" spans="1:8">
      <c r="A1322" s="437" t="s">
        <v>2869</v>
      </c>
      <c r="B1322" s="435"/>
      <c r="D1322" s="437" t="s">
        <v>4717</v>
      </c>
      <c r="E1322" s="435"/>
      <c r="G1322" s="437" t="s">
        <v>10512</v>
      </c>
      <c r="H1322" s="435"/>
    </row>
    <row r="1323" spans="1:8">
      <c r="A1323" s="437" t="s">
        <v>2870</v>
      </c>
      <c r="B1323" s="435"/>
      <c r="D1323" s="434" t="s">
        <v>4718</v>
      </c>
      <c r="E1323" s="435" t="s">
        <v>4719</v>
      </c>
      <c r="G1323" s="437" t="s">
        <v>10513</v>
      </c>
      <c r="H1323" s="435"/>
    </row>
    <row r="1324" spans="1:8">
      <c r="A1324" s="434" t="s">
        <v>2871</v>
      </c>
      <c r="B1324" s="435" t="s">
        <v>2872</v>
      </c>
      <c r="D1324" s="437" t="s">
        <v>4720</v>
      </c>
      <c r="E1324" s="435"/>
      <c r="G1324" s="437" t="s">
        <v>10514</v>
      </c>
      <c r="H1324" s="435"/>
    </row>
    <row r="1325" spans="1:8">
      <c r="A1325" s="437" t="s">
        <v>2873</v>
      </c>
      <c r="B1325" s="435"/>
      <c r="D1325" s="437" t="s">
        <v>4721</v>
      </c>
      <c r="E1325" s="435"/>
      <c r="G1325" s="437" t="s">
        <v>10515</v>
      </c>
      <c r="H1325" s="435"/>
    </row>
    <row r="1326" spans="1:8">
      <c r="A1326" s="434" t="s">
        <v>2874</v>
      </c>
      <c r="B1326" s="435" t="s">
        <v>2875</v>
      </c>
      <c r="D1326" s="437" t="s">
        <v>4722</v>
      </c>
      <c r="E1326" s="435"/>
      <c r="G1326" s="437" t="s">
        <v>10516</v>
      </c>
      <c r="H1326" s="435"/>
    </row>
    <row r="1327" spans="1:8">
      <c r="A1327" s="437" t="s">
        <v>2876</v>
      </c>
      <c r="B1327" s="435"/>
      <c r="D1327" s="434" t="s">
        <v>4723</v>
      </c>
      <c r="E1327" s="435" t="s">
        <v>4724</v>
      </c>
      <c r="G1327" s="437" t="s">
        <v>10517</v>
      </c>
      <c r="H1327" s="435"/>
    </row>
    <row r="1328" spans="1:8">
      <c r="A1328" s="434" t="s">
        <v>2877</v>
      </c>
      <c r="B1328" s="435" t="s">
        <v>2878</v>
      </c>
      <c r="D1328" s="434" t="s">
        <v>4725</v>
      </c>
      <c r="E1328" s="435" t="s">
        <v>4724</v>
      </c>
      <c r="G1328" s="437" t="s">
        <v>10518</v>
      </c>
      <c r="H1328" s="435"/>
    </row>
    <row r="1329" spans="1:8">
      <c r="A1329" s="437" t="s">
        <v>2879</v>
      </c>
      <c r="B1329" s="435"/>
      <c r="D1329" s="437" t="s">
        <v>4726</v>
      </c>
      <c r="E1329" s="435"/>
      <c r="G1329" s="437" t="s">
        <v>10519</v>
      </c>
      <c r="H1329" s="435"/>
    </row>
    <row r="1330" spans="1:8">
      <c r="A1330" s="437" t="s">
        <v>2880</v>
      </c>
      <c r="B1330" s="435"/>
      <c r="D1330" s="434" t="s">
        <v>4727</v>
      </c>
      <c r="E1330" s="435"/>
      <c r="G1330" s="437" t="s">
        <v>10520</v>
      </c>
      <c r="H1330" s="435"/>
    </row>
    <row r="1331" spans="1:8">
      <c r="A1331" s="434" t="s">
        <v>2881</v>
      </c>
      <c r="B1331" s="435" t="s">
        <v>2882</v>
      </c>
      <c r="D1331" s="434" t="s">
        <v>4728</v>
      </c>
      <c r="E1331" s="435"/>
      <c r="G1331" s="437" t="s">
        <v>10521</v>
      </c>
      <c r="H1331" s="435"/>
    </row>
    <row r="1332" spans="1:8">
      <c r="A1332" s="434" t="s">
        <v>2883</v>
      </c>
      <c r="B1332" s="435" t="s">
        <v>2884</v>
      </c>
      <c r="D1332" s="434" t="s">
        <v>4729</v>
      </c>
      <c r="E1332" s="435"/>
      <c r="G1332" s="437" t="s">
        <v>10522</v>
      </c>
      <c r="H1332" s="435"/>
    </row>
    <row r="1333" spans="1:8">
      <c r="A1333" s="434" t="s">
        <v>2885</v>
      </c>
      <c r="B1333" s="435" t="s">
        <v>2886</v>
      </c>
      <c r="D1333" s="437" t="s">
        <v>4730</v>
      </c>
      <c r="E1333" s="435"/>
      <c r="G1333" s="437" t="s">
        <v>10523</v>
      </c>
      <c r="H1333" s="435"/>
    </row>
    <row r="1334" spans="1:8">
      <c r="A1334" s="434" t="s">
        <v>110</v>
      </c>
      <c r="B1334" s="435" t="s">
        <v>2887</v>
      </c>
      <c r="D1334" s="434" t="s">
        <v>4731</v>
      </c>
      <c r="E1334" s="435" t="s">
        <v>4732</v>
      </c>
      <c r="G1334" s="437" t="s">
        <v>10524</v>
      </c>
      <c r="H1334" s="435"/>
    </row>
    <row r="1335" spans="1:8">
      <c r="A1335" s="437" t="s">
        <v>2888</v>
      </c>
      <c r="B1335" s="435"/>
      <c r="D1335" s="434" t="s">
        <v>4733</v>
      </c>
      <c r="E1335" s="435" t="s">
        <v>4734</v>
      </c>
      <c r="G1335" s="437" t="s">
        <v>10525</v>
      </c>
      <c r="H1335" s="435"/>
    </row>
    <row r="1336" spans="1:8">
      <c r="A1336" s="437" t="s">
        <v>2889</v>
      </c>
      <c r="B1336" s="435"/>
      <c r="D1336" s="434" t="s">
        <v>4735</v>
      </c>
      <c r="E1336" s="435" t="s">
        <v>4736</v>
      </c>
      <c r="G1336" s="437" t="s">
        <v>10526</v>
      </c>
      <c r="H1336" s="435"/>
    </row>
    <row r="1337" spans="1:8">
      <c r="A1337" s="437" t="s">
        <v>2890</v>
      </c>
      <c r="B1337" s="435"/>
      <c r="D1337" s="437" t="s">
        <v>4737</v>
      </c>
      <c r="E1337" s="435"/>
      <c r="G1337" s="437" t="s">
        <v>10527</v>
      </c>
      <c r="H1337" s="435"/>
    </row>
    <row r="1338" spans="1:8">
      <c r="A1338" s="434" t="s">
        <v>2891</v>
      </c>
      <c r="B1338" s="435" t="s">
        <v>2892</v>
      </c>
      <c r="D1338" s="434" t="s">
        <v>4738</v>
      </c>
      <c r="E1338" s="435" t="s">
        <v>4736</v>
      </c>
      <c r="G1338" s="437" t="s">
        <v>10528</v>
      </c>
      <c r="H1338" s="435"/>
    </row>
    <row r="1339" spans="1:8">
      <c r="A1339" s="434" t="s">
        <v>2893</v>
      </c>
      <c r="B1339" s="435" t="s">
        <v>2892</v>
      </c>
      <c r="D1339" s="437" t="s">
        <v>4739</v>
      </c>
      <c r="E1339" s="435"/>
      <c r="G1339" s="437" t="s">
        <v>10529</v>
      </c>
      <c r="H1339" s="435"/>
    </row>
    <row r="1340" spans="1:8">
      <c r="A1340" s="437" t="s">
        <v>2894</v>
      </c>
      <c r="B1340" s="435"/>
      <c r="D1340" s="437" t="s">
        <v>4740</v>
      </c>
      <c r="E1340" s="435"/>
      <c r="G1340" s="437" t="s">
        <v>10530</v>
      </c>
      <c r="H1340" s="435"/>
    </row>
    <row r="1341" spans="1:8">
      <c r="A1341" s="437" t="s">
        <v>2895</v>
      </c>
      <c r="B1341" s="435"/>
      <c r="D1341" s="437" t="s">
        <v>4741</v>
      </c>
      <c r="E1341" s="435"/>
      <c r="G1341" s="437" t="s">
        <v>10531</v>
      </c>
      <c r="H1341" s="435"/>
    </row>
    <row r="1342" spans="1:8">
      <c r="A1342" s="437" t="s">
        <v>2896</v>
      </c>
      <c r="B1342" s="435"/>
      <c r="D1342" s="437" t="s">
        <v>4742</v>
      </c>
      <c r="E1342" s="435"/>
      <c r="G1342" s="437" t="s">
        <v>10532</v>
      </c>
      <c r="H1342" s="435"/>
    </row>
    <row r="1343" spans="1:8">
      <c r="A1343" s="437" t="s">
        <v>2897</v>
      </c>
      <c r="B1343" s="435"/>
      <c r="D1343" s="437" t="s">
        <v>4743</v>
      </c>
      <c r="E1343" s="435"/>
      <c r="G1343" s="437" t="s">
        <v>10533</v>
      </c>
      <c r="H1343" s="435"/>
    </row>
    <row r="1344" spans="1:8">
      <c r="A1344" s="437" t="s">
        <v>2898</v>
      </c>
      <c r="B1344" s="435"/>
      <c r="D1344" s="437" t="s">
        <v>4744</v>
      </c>
      <c r="E1344" s="435"/>
      <c r="G1344" s="437" t="s">
        <v>10534</v>
      </c>
      <c r="H1344" s="435"/>
    </row>
    <row r="1345" spans="1:8">
      <c r="A1345" s="437" t="s">
        <v>2899</v>
      </c>
      <c r="B1345" s="435"/>
      <c r="D1345" s="434" t="s">
        <v>4745</v>
      </c>
      <c r="E1345" s="435" t="s">
        <v>4746</v>
      </c>
      <c r="G1345" s="434" t="s">
        <v>10535</v>
      </c>
      <c r="H1345" s="435" t="s">
        <v>10536</v>
      </c>
    </row>
    <row r="1346" spans="1:8">
      <c r="A1346" s="437" t="s">
        <v>2900</v>
      </c>
      <c r="B1346" s="435"/>
      <c r="D1346" s="434" t="s">
        <v>4747</v>
      </c>
      <c r="E1346" s="435" t="s">
        <v>4748</v>
      </c>
      <c r="G1346" s="437" t="s">
        <v>10537</v>
      </c>
      <c r="H1346" s="435"/>
    </row>
    <row r="1347" spans="1:8">
      <c r="A1347" s="437" t="s">
        <v>2901</v>
      </c>
      <c r="B1347" s="435"/>
      <c r="D1347" s="437" t="s">
        <v>4749</v>
      </c>
      <c r="E1347" s="435"/>
      <c r="G1347" s="437" t="s">
        <v>10538</v>
      </c>
      <c r="H1347" s="435"/>
    </row>
    <row r="1348" spans="1:8">
      <c r="A1348" s="434" t="s">
        <v>2902</v>
      </c>
      <c r="B1348" s="435" t="s">
        <v>2903</v>
      </c>
      <c r="D1348" s="434" t="s">
        <v>4750</v>
      </c>
      <c r="E1348" s="435" t="s">
        <v>4751</v>
      </c>
      <c r="G1348" s="437" t="s">
        <v>10539</v>
      </c>
      <c r="H1348" s="435"/>
    </row>
    <row r="1349" spans="1:8">
      <c r="A1349" s="437" t="s">
        <v>2904</v>
      </c>
      <c r="B1349" s="435"/>
      <c r="D1349" s="437" t="s">
        <v>4752</v>
      </c>
      <c r="E1349" s="435"/>
      <c r="G1349" s="437" t="s">
        <v>10540</v>
      </c>
      <c r="H1349" s="435"/>
    </row>
    <row r="1350" spans="1:8">
      <c r="A1350" s="437" t="s">
        <v>2905</v>
      </c>
      <c r="B1350" s="435"/>
      <c r="D1350" s="437" t="s">
        <v>4753</v>
      </c>
      <c r="E1350" s="435"/>
      <c r="G1350" s="437" t="s">
        <v>10541</v>
      </c>
      <c r="H1350" s="435"/>
    </row>
    <row r="1351" spans="1:8">
      <c r="A1351" s="437" t="s">
        <v>2906</v>
      </c>
      <c r="B1351" s="435"/>
      <c r="D1351" s="437" t="s">
        <v>4754</v>
      </c>
      <c r="E1351" s="435"/>
      <c r="G1351" s="437" t="s">
        <v>10542</v>
      </c>
      <c r="H1351" s="435"/>
    </row>
    <row r="1352" spans="1:8">
      <c r="A1352" s="434" t="s">
        <v>2907</v>
      </c>
      <c r="B1352" s="435" t="s">
        <v>2908</v>
      </c>
      <c r="D1352" s="437" t="s">
        <v>4755</v>
      </c>
      <c r="E1352" s="435"/>
      <c r="G1352" s="437" t="s">
        <v>10543</v>
      </c>
      <c r="H1352" s="435"/>
    </row>
    <row r="1353" spans="1:8">
      <c r="A1353" s="434" t="s">
        <v>2909</v>
      </c>
      <c r="B1353" s="435" t="s">
        <v>2910</v>
      </c>
      <c r="D1353" s="437" t="s">
        <v>4756</v>
      </c>
      <c r="E1353" s="435"/>
      <c r="G1353" s="437" t="s">
        <v>10544</v>
      </c>
      <c r="H1353" s="435"/>
    </row>
    <row r="1354" spans="1:8">
      <c r="A1354" s="434" t="s">
        <v>2911</v>
      </c>
      <c r="B1354" s="435" t="s">
        <v>2912</v>
      </c>
      <c r="D1354" s="434" t="s">
        <v>4757</v>
      </c>
      <c r="E1354" s="435" t="s">
        <v>4758</v>
      </c>
      <c r="G1354" s="437" t="s">
        <v>10545</v>
      </c>
      <c r="H1354" s="435"/>
    </row>
    <row r="1355" spans="1:8">
      <c r="A1355" s="434" t="s">
        <v>2913</v>
      </c>
      <c r="B1355" s="435" t="s">
        <v>2914</v>
      </c>
      <c r="D1355" s="437" t="s">
        <v>4759</v>
      </c>
      <c r="E1355" s="435"/>
      <c r="G1355" s="437" t="s">
        <v>10546</v>
      </c>
      <c r="H1355" s="435"/>
    </row>
    <row r="1356" spans="1:8">
      <c r="A1356" s="437" t="s">
        <v>2915</v>
      </c>
      <c r="B1356" s="435"/>
      <c r="D1356" s="437" t="s">
        <v>4760</v>
      </c>
      <c r="E1356" s="435"/>
      <c r="G1356" s="437" t="s">
        <v>10547</v>
      </c>
      <c r="H1356" s="435"/>
    </row>
    <row r="1357" spans="1:8">
      <c r="A1357" s="437" t="s">
        <v>2916</v>
      </c>
      <c r="B1357" s="435"/>
      <c r="D1357" s="434" t="s">
        <v>4761</v>
      </c>
      <c r="E1357" s="435" t="s">
        <v>4762</v>
      </c>
      <c r="G1357" s="437" t="s">
        <v>10548</v>
      </c>
      <c r="H1357" s="435"/>
    </row>
    <row r="1358" spans="1:8">
      <c r="A1358" s="434" t="s">
        <v>2917</v>
      </c>
      <c r="B1358" s="435" t="s">
        <v>2918</v>
      </c>
      <c r="D1358" s="437" t="s">
        <v>4763</v>
      </c>
      <c r="E1358" s="435"/>
      <c r="G1358" s="434" t="s">
        <v>10549</v>
      </c>
      <c r="H1358" s="435" t="s">
        <v>10550</v>
      </c>
    </row>
    <row r="1359" spans="1:8">
      <c r="A1359" s="434" t="s">
        <v>2919</v>
      </c>
      <c r="B1359" s="435" t="s">
        <v>2920</v>
      </c>
      <c r="D1359" s="434" t="s">
        <v>4764</v>
      </c>
      <c r="E1359" s="435" t="s">
        <v>4765</v>
      </c>
      <c r="G1359" s="437" t="s">
        <v>10551</v>
      </c>
      <c r="H1359" s="435"/>
    </row>
    <row r="1360" spans="1:8">
      <c r="A1360" s="437" t="s">
        <v>2921</v>
      </c>
      <c r="B1360" s="435"/>
      <c r="D1360" s="437" t="s">
        <v>4766</v>
      </c>
      <c r="E1360" s="435"/>
      <c r="G1360" s="437" t="s">
        <v>10552</v>
      </c>
      <c r="H1360" s="435"/>
    </row>
    <row r="1361" spans="1:8">
      <c r="A1361" s="437" t="s">
        <v>2922</v>
      </c>
      <c r="B1361" s="435"/>
      <c r="D1361" s="437" t="s">
        <v>4767</v>
      </c>
      <c r="E1361" s="435"/>
      <c r="G1361" s="437" t="s">
        <v>10553</v>
      </c>
      <c r="H1361" s="435"/>
    </row>
    <row r="1362" spans="1:8">
      <c r="A1362" s="437" t="s">
        <v>2923</v>
      </c>
      <c r="B1362" s="435"/>
      <c r="D1362" s="434" t="s">
        <v>4768</v>
      </c>
      <c r="E1362" s="435" t="s">
        <v>4769</v>
      </c>
      <c r="G1362" s="434" t="s">
        <v>10554</v>
      </c>
      <c r="H1362" s="435" t="s">
        <v>10555</v>
      </c>
    </row>
    <row r="1363" spans="1:8">
      <c r="A1363" s="437" t="s">
        <v>2924</v>
      </c>
      <c r="B1363" s="435"/>
      <c r="D1363" s="437" t="s">
        <v>4770</v>
      </c>
      <c r="E1363" s="435"/>
      <c r="G1363" s="434" t="s">
        <v>10556</v>
      </c>
      <c r="H1363" s="435" t="s">
        <v>10557</v>
      </c>
    </row>
    <row r="1364" spans="1:8">
      <c r="A1364" s="437" t="s">
        <v>2925</v>
      </c>
      <c r="B1364" s="435"/>
      <c r="D1364" s="434" t="s">
        <v>4771</v>
      </c>
      <c r="E1364" s="435" t="s">
        <v>4772</v>
      </c>
      <c r="G1364" s="437" t="s">
        <v>10558</v>
      </c>
      <c r="H1364" s="435"/>
    </row>
    <row r="1365" spans="1:8">
      <c r="A1365" s="434" t="s">
        <v>1085</v>
      </c>
      <c r="B1365" s="435" t="s">
        <v>2926</v>
      </c>
      <c r="D1365" s="437" t="s">
        <v>4773</v>
      </c>
      <c r="E1365" s="435"/>
      <c r="G1365" s="437" t="s">
        <v>10559</v>
      </c>
      <c r="H1365" s="435"/>
    </row>
    <row r="1366" spans="1:8">
      <c r="A1366" s="434" t="s">
        <v>2927</v>
      </c>
      <c r="B1366" s="435" t="s">
        <v>2926</v>
      </c>
      <c r="D1366" s="437" t="s">
        <v>4774</v>
      </c>
      <c r="E1366" s="435"/>
      <c r="G1366" s="437" t="s">
        <v>10560</v>
      </c>
      <c r="H1366" s="435"/>
    </row>
    <row r="1367" spans="1:8">
      <c r="A1367" s="437" t="s">
        <v>2928</v>
      </c>
      <c r="B1367" s="435"/>
      <c r="D1367" s="437" t="s">
        <v>4775</v>
      </c>
      <c r="E1367" s="435"/>
      <c r="G1367" s="437" t="s">
        <v>10561</v>
      </c>
      <c r="H1367" s="435"/>
    </row>
    <row r="1368" spans="1:8">
      <c r="A1368" s="437" t="s">
        <v>2929</v>
      </c>
      <c r="B1368" s="435"/>
      <c r="D1368" s="437" t="s">
        <v>4776</v>
      </c>
      <c r="E1368" s="435"/>
      <c r="G1368" s="437" t="s">
        <v>10562</v>
      </c>
      <c r="H1368" s="435"/>
    </row>
    <row r="1369" spans="1:8">
      <c r="A1369" s="437" t="s">
        <v>2930</v>
      </c>
      <c r="B1369" s="435"/>
      <c r="D1369" s="437" t="s">
        <v>4777</v>
      </c>
      <c r="E1369" s="435"/>
      <c r="G1369" s="437" t="s">
        <v>10563</v>
      </c>
      <c r="H1369" s="435"/>
    </row>
    <row r="1370" spans="1:8">
      <c r="A1370" s="437" t="s">
        <v>2931</v>
      </c>
      <c r="B1370" s="435"/>
      <c r="D1370" s="437" t="s">
        <v>4778</v>
      </c>
      <c r="E1370" s="435"/>
      <c r="G1370" s="437" t="s">
        <v>10564</v>
      </c>
      <c r="H1370" s="435"/>
    </row>
    <row r="1371" spans="1:8">
      <c r="A1371" s="437" t="s">
        <v>2932</v>
      </c>
      <c r="B1371" s="435"/>
      <c r="D1371" s="437" t="s">
        <v>4779</v>
      </c>
      <c r="E1371" s="435"/>
      <c r="G1371" s="437" t="s">
        <v>10565</v>
      </c>
      <c r="H1371" s="435"/>
    </row>
    <row r="1372" spans="1:8">
      <c r="A1372" s="437" t="s">
        <v>2933</v>
      </c>
      <c r="B1372" s="435"/>
      <c r="D1372" s="437" t="s">
        <v>4780</v>
      </c>
      <c r="E1372" s="435"/>
      <c r="G1372" s="437" t="s">
        <v>10566</v>
      </c>
      <c r="H1372" s="435"/>
    </row>
    <row r="1373" spans="1:8">
      <c r="A1373" s="437" t="s">
        <v>2934</v>
      </c>
      <c r="B1373" s="435"/>
      <c r="D1373" s="437" t="s">
        <v>4781</v>
      </c>
      <c r="E1373" s="435"/>
      <c r="G1373" s="437" t="s">
        <v>10567</v>
      </c>
      <c r="H1373" s="435"/>
    </row>
    <row r="1374" spans="1:8">
      <c r="A1374" s="437" t="s">
        <v>2935</v>
      </c>
      <c r="B1374" s="435"/>
      <c r="D1374" s="437" t="s">
        <v>4782</v>
      </c>
      <c r="E1374" s="435"/>
      <c r="G1374" s="437" t="s">
        <v>10568</v>
      </c>
      <c r="H1374" s="435"/>
    </row>
    <row r="1375" spans="1:8">
      <c r="A1375" s="437" t="s">
        <v>2936</v>
      </c>
      <c r="B1375" s="435"/>
      <c r="D1375" s="434" t="s">
        <v>4783</v>
      </c>
      <c r="E1375" s="435" t="s">
        <v>4784</v>
      </c>
      <c r="G1375" s="437" t="s">
        <v>10569</v>
      </c>
      <c r="H1375" s="435"/>
    </row>
    <row r="1376" spans="1:8">
      <c r="A1376" s="437" t="s">
        <v>2937</v>
      </c>
      <c r="B1376" s="435"/>
      <c r="D1376" s="434" t="s">
        <v>4785</v>
      </c>
      <c r="E1376" s="435" t="s">
        <v>4784</v>
      </c>
      <c r="G1376" s="437" t="s">
        <v>10570</v>
      </c>
      <c r="H1376" s="435"/>
    </row>
    <row r="1377" spans="1:8">
      <c r="A1377" s="437" t="s">
        <v>2938</v>
      </c>
      <c r="B1377" s="435"/>
      <c r="D1377" s="437" t="s">
        <v>4786</v>
      </c>
      <c r="E1377" s="435"/>
      <c r="G1377" s="437" t="s">
        <v>10571</v>
      </c>
      <c r="H1377" s="435"/>
    </row>
    <row r="1378" spans="1:8">
      <c r="A1378" s="437" t="s">
        <v>2939</v>
      </c>
      <c r="B1378" s="435"/>
      <c r="D1378" s="434" t="s">
        <v>4787</v>
      </c>
      <c r="E1378" s="435" t="s">
        <v>4784</v>
      </c>
      <c r="G1378" s="437" t="s">
        <v>10572</v>
      </c>
      <c r="H1378" s="435"/>
    </row>
    <row r="1379" spans="1:8">
      <c r="A1379" s="434" t="s">
        <v>111</v>
      </c>
      <c r="B1379" s="435" t="s">
        <v>2940</v>
      </c>
      <c r="D1379" s="437" t="s">
        <v>4788</v>
      </c>
      <c r="E1379" s="435"/>
      <c r="G1379" s="434" t="s">
        <v>10573</v>
      </c>
      <c r="H1379" s="435" t="s">
        <v>10574</v>
      </c>
    </row>
    <row r="1380" spans="1:8">
      <c r="A1380" s="434" t="s">
        <v>2941</v>
      </c>
      <c r="B1380" s="435" t="s">
        <v>2940</v>
      </c>
      <c r="D1380" s="437" t="s">
        <v>4789</v>
      </c>
      <c r="E1380" s="435"/>
      <c r="G1380" s="437" t="s">
        <v>10575</v>
      </c>
      <c r="H1380" s="435"/>
    </row>
    <row r="1381" spans="1:8">
      <c r="A1381" s="437" t="s">
        <v>2942</v>
      </c>
      <c r="B1381" s="435"/>
      <c r="D1381" s="437" t="s">
        <v>4790</v>
      </c>
      <c r="E1381" s="435"/>
      <c r="G1381" s="437" t="s">
        <v>10576</v>
      </c>
      <c r="H1381" s="435"/>
    </row>
    <row r="1382" spans="1:8">
      <c r="A1382" s="437" t="s">
        <v>2943</v>
      </c>
      <c r="B1382" s="435"/>
      <c r="D1382" s="437" t="s">
        <v>4791</v>
      </c>
      <c r="E1382" s="435"/>
      <c r="G1382" s="437" t="s">
        <v>10577</v>
      </c>
      <c r="H1382" s="435"/>
    </row>
    <row r="1383" spans="1:8">
      <c r="A1383" s="437" t="s">
        <v>2944</v>
      </c>
      <c r="B1383" s="435"/>
      <c r="D1383" s="437" t="s">
        <v>4792</v>
      </c>
      <c r="E1383" s="435"/>
      <c r="G1383" s="437" t="s">
        <v>10578</v>
      </c>
      <c r="H1383" s="435"/>
    </row>
    <row r="1384" spans="1:8">
      <c r="A1384" s="434" t="s">
        <v>112</v>
      </c>
      <c r="B1384" s="435" t="s">
        <v>2945</v>
      </c>
      <c r="D1384" s="434" t="s">
        <v>4793</v>
      </c>
      <c r="E1384" s="435" t="s">
        <v>4794</v>
      </c>
      <c r="G1384" s="437" t="s">
        <v>10579</v>
      </c>
      <c r="H1384" s="435"/>
    </row>
    <row r="1385" spans="1:8">
      <c r="A1385" s="437" t="s">
        <v>2946</v>
      </c>
      <c r="B1385" s="435"/>
      <c r="D1385" s="437" t="s">
        <v>4795</v>
      </c>
      <c r="E1385" s="435"/>
      <c r="G1385" s="434" t="s">
        <v>10580</v>
      </c>
      <c r="H1385" s="435" t="s">
        <v>10581</v>
      </c>
    </row>
    <row r="1386" spans="1:8">
      <c r="A1386" s="437" t="s">
        <v>2947</v>
      </c>
      <c r="B1386" s="435"/>
      <c r="D1386" s="437" t="s">
        <v>4796</v>
      </c>
      <c r="E1386" s="435"/>
      <c r="G1386" s="437" t="s">
        <v>10582</v>
      </c>
      <c r="H1386" s="435"/>
    </row>
    <row r="1387" spans="1:8">
      <c r="A1387" s="437" t="s">
        <v>2948</v>
      </c>
      <c r="B1387" s="435"/>
      <c r="D1387" s="437" t="s">
        <v>4797</v>
      </c>
      <c r="E1387" s="435"/>
      <c r="G1387" s="437" t="s">
        <v>10583</v>
      </c>
      <c r="H1387" s="435"/>
    </row>
    <row r="1388" spans="1:8">
      <c r="A1388" s="434" t="s">
        <v>2949</v>
      </c>
      <c r="B1388" s="435" t="s">
        <v>2950</v>
      </c>
      <c r="D1388" s="437" t="s">
        <v>4798</v>
      </c>
      <c r="E1388" s="435"/>
      <c r="G1388" s="437" t="s">
        <v>10584</v>
      </c>
      <c r="H1388" s="435"/>
    </row>
    <row r="1389" spans="1:8">
      <c r="A1389" s="437" t="s">
        <v>2951</v>
      </c>
      <c r="B1389" s="435"/>
      <c r="D1389" s="434" t="s">
        <v>4799</v>
      </c>
      <c r="E1389" s="435" t="s">
        <v>4800</v>
      </c>
      <c r="G1389" s="437" t="s">
        <v>10585</v>
      </c>
      <c r="H1389" s="435"/>
    </row>
    <row r="1390" spans="1:8">
      <c r="A1390" s="437" t="s">
        <v>2952</v>
      </c>
      <c r="B1390" s="435"/>
      <c r="D1390" s="437" t="s">
        <v>4801</v>
      </c>
      <c r="E1390" s="435"/>
      <c r="G1390" s="437" t="s">
        <v>10586</v>
      </c>
      <c r="H1390" s="435"/>
    </row>
    <row r="1391" spans="1:8">
      <c r="A1391" s="437" t="s">
        <v>2953</v>
      </c>
      <c r="B1391" s="435"/>
      <c r="D1391" s="437" t="s">
        <v>4802</v>
      </c>
      <c r="E1391" s="435"/>
      <c r="G1391" s="437" t="s">
        <v>10587</v>
      </c>
      <c r="H1391" s="435"/>
    </row>
    <row r="1392" spans="1:8">
      <c r="A1392" s="437" t="s">
        <v>2954</v>
      </c>
      <c r="B1392" s="435"/>
      <c r="D1392" s="437" t="s">
        <v>4803</v>
      </c>
      <c r="E1392" s="435"/>
      <c r="G1392" s="437" t="s">
        <v>10588</v>
      </c>
      <c r="H1392" s="435"/>
    </row>
    <row r="1393" spans="1:8">
      <c r="A1393" s="434" t="s">
        <v>2955</v>
      </c>
      <c r="B1393" s="435" t="s">
        <v>2956</v>
      </c>
      <c r="D1393" s="434" t="s">
        <v>4804</v>
      </c>
      <c r="E1393" s="435" t="s">
        <v>4805</v>
      </c>
      <c r="G1393" s="437" t="s">
        <v>10589</v>
      </c>
      <c r="H1393" s="435"/>
    </row>
    <row r="1394" spans="1:8">
      <c r="A1394" s="437" t="s">
        <v>2957</v>
      </c>
      <c r="B1394" s="435"/>
      <c r="D1394" s="434" t="s">
        <v>4806</v>
      </c>
      <c r="E1394" s="435" t="s">
        <v>4805</v>
      </c>
      <c r="G1394" s="437" t="s">
        <v>10590</v>
      </c>
      <c r="H1394" s="435"/>
    </row>
    <row r="1395" spans="1:8">
      <c r="A1395" s="437" t="s">
        <v>2944</v>
      </c>
      <c r="B1395" s="435"/>
      <c r="D1395" s="437" t="s">
        <v>4807</v>
      </c>
      <c r="E1395" s="435"/>
      <c r="G1395" s="437" t="s">
        <v>10591</v>
      </c>
      <c r="H1395" s="435"/>
    </row>
    <row r="1396" spans="1:8">
      <c r="A1396" s="437" t="s">
        <v>2958</v>
      </c>
      <c r="B1396" s="435"/>
      <c r="D1396" s="437" t="s">
        <v>4808</v>
      </c>
      <c r="E1396" s="435"/>
      <c r="G1396" s="437" t="s">
        <v>10592</v>
      </c>
      <c r="H1396" s="435"/>
    </row>
    <row r="1397" spans="1:8">
      <c r="A1397" s="437" t="s">
        <v>2959</v>
      </c>
      <c r="B1397" s="435"/>
      <c r="D1397" s="437" t="s">
        <v>4809</v>
      </c>
      <c r="E1397" s="435"/>
      <c r="G1397" s="437" t="s">
        <v>10593</v>
      </c>
      <c r="H1397" s="435"/>
    </row>
    <row r="1398" spans="1:8">
      <c r="A1398" s="434" t="s">
        <v>2960</v>
      </c>
      <c r="B1398" s="435" t="s">
        <v>2961</v>
      </c>
      <c r="D1398" s="434" t="s">
        <v>4810</v>
      </c>
      <c r="E1398" s="435" t="s">
        <v>4811</v>
      </c>
      <c r="G1398" s="437" t="s">
        <v>10594</v>
      </c>
      <c r="H1398" s="435"/>
    </row>
    <row r="1399" spans="1:8">
      <c r="A1399" s="437" t="s">
        <v>2962</v>
      </c>
      <c r="B1399" s="435"/>
      <c r="D1399" s="434" t="s">
        <v>4812</v>
      </c>
      <c r="E1399" s="435" t="s">
        <v>4811</v>
      </c>
      <c r="G1399" s="434" t="s">
        <v>10595</v>
      </c>
      <c r="H1399" s="435" t="s">
        <v>10596</v>
      </c>
    </row>
    <row r="1400" spans="1:8">
      <c r="A1400" s="437" t="s">
        <v>2963</v>
      </c>
      <c r="B1400" s="435"/>
      <c r="D1400" s="437" t="s">
        <v>4813</v>
      </c>
      <c r="E1400" s="435"/>
      <c r="G1400" s="437" t="s">
        <v>10597</v>
      </c>
      <c r="H1400" s="435"/>
    </row>
    <row r="1401" spans="1:8">
      <c r="A1401" s="437" t="s">
        <v>2964</v>
      </c>
      <c r="B1401" s="435"/>
      <c r="D1401" s="434" t="s">
        <v>4814</v>
      </c>
      <c r="E1401" s="435" t="s">
        <v>4815</v>
      </c>
      <c r="G1401" s="434" t="s">
        <v>10598</v>
      </c>
      <c r="H1401" s="435" t="s">
        <v>10599</v>
      </c>
    </row>
    <row r="1402" spans="1:8">
      <c r="A1402" s="437" t="s">
        <v>2965</v>
      </c>
      <c r="B1402" s="435"/>
      <c r="D1402" s="437" t="s">
        <v>4816</v>
      </c>
      <c r="E1402" s="435"/>
      <c r="G1402" s="437" t="s">
        <v>10600</v>
      </c>
      <c r="H1402" s="435"/>
    </row>
    <row r="1403" spans="1:8">
      <c r="A1403" s="437" t="s">
        <v>2966</v>
      </c>
      <c r="B1403" s="435"/>
      <c r="D1403" s="437" t="s">
        <v>4817</v>
      </c>
      <c r="E1403" s="435"/>
      <c r="G1403" s="434" t="s">
        <v>10601</v>
      </c>
      <c r="H1403" s="435" t="s">
        <v>10602</v>
      </c>
    </row>
    <row r="1404" spans="1:8">
      <c r="A1404" s="437" t="s">
        <v>2967</v>
      </c>
      <c r="B1404" s="435"/>
      <c r="D1404" s="434" t="s">
        <v>4818</v>
      </c>
      <c r="E1404" s="435" t="s">
        <v>4819</v>
      </c>
      <c r="G1404" s="437" t="s">
        <v>10603</v>
      </c>
      <c r="H1404" s="435"/>
    </row>
    <row r="1405" spans="1:8">
      <c r="A1405" s="437" t="s">
        <v>2968</v>
      </c>
      <c r="B1405" s="435"/>
      <c r="D1405" s="437" t="s">
        <v>4820</v>
      </c>
      <c r="E1405" s="435"/>
      <c r="G1405" s="437" t="s">
        <v>10604</v>
      </c>
      <c r="H1405" s="435"/>
    </row>
    <row r="1406" spans="1:8">
      <c r="A1406" s="437" t="s">
        <v>2969</v>
      </c>
      <c r="B1406" s="435"/>
      <c r="D1406" s="437" t="s">
        <v>4821</v>
      </c>
      <c r="E1406" s="435"/>
      <c r="G1406" s="437" t="s">
        <v>10605</v>
      </c>
      <c r="H1406" s="435"/>
    </row>
    <row r="1407" spans="1:8">
      <c r="A1407" s="437" t="s">
        <v>2970</v>
      </c>
      <c r="B1407" s="435"/>
      <c r="D1407" s="437" t="s">
        <v>4822</v>
      </c>
      <c r="E1407" s="435"/>
      <c r="G1407" s="437" t="s">
        <v>10606</v>
      </c>
      <c r="H1407" s="435"/>
    </row>
    <row r="1408" spans="1:8">
      <c r="A1408" s="437" t="s">
        <v>2971</v>
      </c>
      <c r="B1408" s="435"/>
      <c r="D1408" s="434" t="s">
        <v>4823</v>
      </c>
      <c r="E1408" s="435" t="s">
        <v>4824</v>
      </c>
      <c r="G1408" s="437" t="s">
        <v>10607</v>
      </c>
      <c r="H1408" s="435"/>
    </row>
    <row r="1409" spans="1:8">
      <c r="A1409" s="437" t="s">
        <v>2972</v>
      </c>
      <c r="B1409" s="435"/>
      <c r="D1409" s="434" t="s">
        <v>4825</v>
      </c>
      <c r="E1409" s="435" t="s">
        <v>4824</v>
      </c>
      <c r="G1409" s="437" t="s">
        <v>10608</v>
      </c>
      <c r="H1409" s="435"/>
    </row>
    <row r="1410" spans="1:8">
      <c r="A1410" s="434" t="s">
        <v>2973</v>
      </c>
      <c r="B1410" s="435"/>
      <c r="D1410" s="437" t="s">
        <v>4826</v>
      </c>
      <c r="E1410" s="435"/>
      <c r="G1410" s="434" t="s">
        <v>10609</v>
      </c>
      <c r="H1410" s="435" t="s">
        <v>10610</v>
      </c>
    </row>
    <row r="1411" spans="1:8">
      <c r="A1411" s="437" t="s">
        <v>2974</v>
      </c>
      <c r="B1411" s="435"/>
      <c r="D1411" s="437" t="s">
        <v>4827</v>
      </c>
      <c r="E1411" s="435"/>
      <c r="G1411" s="437" t="s">
        <v>10611</v>
      </c>
      <c r="H1411" s="435"/>
    </row>
    <row r="1412" spans="1:8">
      <c r="A1412" s="437" t="s">
        <v>2975</v>
      </c>
      <c r="B1412" s="435"/>
      <c r="D1412" s="437" t="s">
        <v>4828</v>
      </c>
      <c r="E1412" s="435"/>
      <c r="G1412" s="434" t="s">
        <v>10612</v>
      </c>
      <c r="H1412" s="435" t="s">
        <v>10613</v>
      </c>
    </row>
    <row r="1413" spans="1:8">
      <c r="A1413" s="434" t="s">
        <v>113</v>
      </c>
      <c r="B1413" s="435" t="s">
        <v>2976</v>
      </c>
      <c r="D1413" s="437" t="s">
        <v>4829</v>
      </c>
      <c r="E1413" s="435"/>
      <c r="G1413" s="434" t="s">
        <v>10614</v>
      </c>
      <c r="H1413" s="435" t="s">
        <v>10613</v>
      </c>
    </row>
    <row r="1414" spans="1:8">
      <c r="A1414" s="434" t="s">
        <v>2977</v>
      </c>
      <c r="B1414" s="435" t="s">
        <v>2976</v>
      </c>
      <c r="D1414" s="434" t="s">
        <v>4830</v>
      </c>
      <c r="E1414" s="435" t="s">
        <v>4824</v>
      </c>
      <c r="G1414" s="437" t="s">
        <v>10615</v>
      </c>
      <c r="H1414" s="435"/>
    </row>
    <row r="1415" spans="1:8">
      <c r="A1415" s="437" t="s">
        <v>2978</v>
      </c>
      <c r="B1415" s="435"/>
      <c r="D1415" s="437" t="s">
        <v>4831</v>
      </c>
      <c r="E1415" s="435"/>
      <c r="G1415" s="437" t="s">
        <v>10616</v>
      </c>
      <c r="H1415" s="435"/>
    </row>
    <row r="1416" spans="1:8">
      <c r="A1416" s="437" t="s">
        <v>2979</v>
      </c>
      <c r="B1416" s="435"/>
      <c r="D1416" s="437" t="s">
        <v>4832</v>
      </c>
      <c r="E1416" s="435"/>
      <c r="G1416" s="437" t="s">
        <v>10617</v>
      </c>
      <c r="H1416" s="435"/>
    </row>
    <row r="1417" spans="1:8">
      <c r="A1417" s="434" t="s">
        <v>2980</v>
      </c>
      <c r="B1417" s="435" t="s">
        <v>2976</v>
      </c>
      <c r="D1417" s="437" t="s">
        <v>4833</v>
      </c>
      <c r="E1417" s="435"/>
      <c r="G1417" s="437" t="s">
        <v>10618</v>
      </c>
      <c r="H1417" s="435"/>
    </row>
    <row r="1418" spans="1:8">
      <c r="A1418" s="437" t="s">
        <v>2981</v>
      </c>
      <c r="B1418" s="435"/>
      <c r="D1418" s="437" t="s">
        <v>4834</v>
      </c>
      <c r="E1418" s="435"/>
      <c r="G1418" s="437" t="s">
        <v>10619</v>
      </c>
      <c r="H1418" s="435"/>
    </row>
    <row r="1419" spans="1:8">
      <c r="A1419" s="437" t="s">
        <v>2982</v>
      </c>
      <c r="B1419" s="435"/>
      <c r="D1419" s="437" t="s">
        <v>4835</v>
      </c>
      <c r="E1419" s="435"/>
      <c r="G1419" s="437" t="s">
        <v>10620</v>
      </c>
      <c r="H1419" s="435"/>
    </row>
    <row r="1420" spans="1:8">
      <c r="A1420" s="437" t="s">
        <v>2983</v>
      </c>
      <c r="B1420" s="435"/>
      <c r="D1420" s="437" t="s">
        <v>4836</v>
      </c>
      <c r="E1420" s="435"/>
      <c r="G1420" s="434" t="s">
        <v>10621</v>
      </c>
      <c r="H1420" s="435" t="s">
        <v>10622</v>
      </c>
    </row>
    <row r="1421" spans="1:8">
      <c r="A1421" s="437" t="s">
        <v>2984</v>
      </c>
      <c r="B1421" s="435"/>
      <c r="D1421" s="437" t="s">
        <v>4837</v>
      </c>
      <c r="E1421" s="435"/>
      <c r="G1421" s="437" t="s">
        <v>10623</v>
      </c>
      <c r="H1421" s="435"/>
    </row>
    <row r="1422" spans="1:8">
      <c r="A1422" s="437" t="s">
        <v>2985</v>
      </c>
      <c r="B1422" s="435"/>
      <c r="D1422" s="434" t="s">
        <v>4838</v>
      </c>
      <c r="E1422" s="435" t="s">
        <v>4839</v>
      </c>
      <c r="G1422" s="437" t="s">
        <v>10624</v>
      </c>
      <c r="H1422" s="435"/>
    </row>
    <row r="1423" spans="1:8">
      <c r="A1423" s="437" t="s">
        <v>2986</v>
      </c>
      <c r="B1423" s="435"/>
      <c r="D1423" s="434" t="s">
        <v>4840</v>
      </c>
      <c r="E1423" s="435" t="s">
        <v>4841</v>
      </c>
      <c r="G1423" s="437" t="s">
        <v>10625</v>
      </c>
      <c r="H1423" s="435"/>
    </row>
    <row r="1424" spans="1:8">
      <c r="A1424" s="434" t="s">
        <v>2987</v>
      </c>
      <c r="B1424" s="435" t="s">
        <v>2988</v>
      </c>
      <c r="D1424" s="437" t="s">
        <v>4842</v>
      </c>
      <c r="E1424" s="435"/>
      <c r="G1424" s="437" t="s">
        <v>10626</v>
      </c>
      <c r="H1424" s="435"/>
    </row>
    <row r="1425" spans="1:8">
      <c r="A1425" s="437" t="s">
        <v>2989</v>
      </c>
      <c r="B1425" s="435"/>
      <c r="D1425" s="437" t="s">
        <v>4843</v>
      </c>
      <c r="E1425" s="435"/>
      <c r="G1425" s="437" t="s">
        <v>10627</v>
      </c>
      <c r="H1425" s="435"/>
    </row>
    <row r="1426" spans="1:8">
      <c r="A1426" s="437" t="s">
        <v>2990</v>
      </c>
      <c r="B1426" s="435"/>
      <c r="D1426" s="434" t="s">
        <v>4844</v>
      </c>
      <c r="E1426" s="435" t="s">
        <v>4845</v>
      </c>
      <c r="G1426" s="434" t="s">
        <v>10628</v>
      </c>
      <c r="H1426" s="435" t="s">
        <v>10629</v>
      </c>
    </row>
    <row r="1427" spans="1:8">
      <c r="A1427" s="437" t="s">
        <v>2991</v>
      </c>
      <c r="B1427" s="435"/>
      <c r="D1427" s="434" t="s">
        <v>4846</v>
      </c>
      <c r="E1427" s="435" t="s">
        <v>4845</v>
      </c>
      <c r="G1427" s="437" t="s">
        <v>10630</v>
      </c>
      <c r="H1427" s="435"/>
    </row>
    <row r="1428" spans="1:8">
      <c r="A1428" s="434" t="s">
        <v>114</v>
      </c>
      <c r="B1428" s="435" t="s">
        <v>2992</v>
      </c>
      <c r="D1428" s="437" t="s">
        <v>4847</v>
      </c>
      <c r="E1428" s="435"/>
      <c r="G1428" s="437" t="s">
        <v>10631</v>
      </c>
      <c r="H1428" s="435"/>
    </row>
    <row r="1429" spans="1:8">
      <c r="A1429" s="437" t="s">
        <v>2993</v>
      </c>
      <c r="B1429" s="435"/>
      <c r="D1429" s="437" t="s">
        <v>4848</v>
      </c>
      <c r="E1429" s="435"/>
      <c r="G1429" s="437" t="s">
        <v>10632</v>
      </c>
      <c r="H1429" s="435"/>
    </row>
    <row r="1430" spans="1:8">
      <c r="A1430" s="437" t="s">
        <v>2994</v>
      </c>
      <c r="B1430" s="435"/>
      <c r="D1430" s="437" t="s">
        <v>4849</v>
      </c>
      <c r="E1430" s="435"/>
      <c r="G1430" s="437" t="s">
        <v>10633</v>
      </c>
      <c r="H1430" s="435"/>
    </row>
    <row r="1431" spans="1:8">
      <c r="A1431" s="437" t="s">
        <v>2995</v>
      </c>
      <c r="B1431" s="435"/>
      <c r="D1431" s="437" t="s">
        <v>4850</v>
      </c>
      <c r="E1431" s="435"/>
      <c r="G1431" s="437" t="s">
        <v>10634</v>
      </c>
      <c r="H1431" s="435"/>
    </row>
    <row r="1432" spans="1:8">
      <c r="A1432" s="437" t="s">
        <v>2996</v>
      </c>
      <c r="B1432" s="435"/>
      <c r="D1432" s="434" t="s">
        <v>4851</v>
      </c>
      <c r="E1432" s="435" t="s">
        <v>4852</v>
      </c>
      <c r="G1432" s="437" t="s">
        <v>10635</v>
      </c>
      <c r="H1432" s="435"/>
    </row>
    <row r="1433" spans="1:8">
      <c r="A1433" s="437" t="s">
        <v>2997</v>
      </c>
      <c r="B1433" s="435"/>
      <c r="D1433" s="437" t="s">
        <v>4853</v>
      </c>
      <c r="E1433" s="435"/>
      <c r="G1433" s="437" t="s">
        <v>10636</v>
      </c>
      <c r="H1433" s="435"/>
    </row>
    <row r="1434" spans="1:8">
      <c r="A1434" s="437" t="s">
        <v>2998</v>
      </c>
      <c r="B1434" s="435"/>
      <c r="D1434" s="437" t="s">
        <v>4854</v>
      </c>
      <c r="E1434" s="435"/>
      <c r="G1434" s="437" t="s">
        <v>10637</v>
      </c>
      <c r="H1434" s="435"/>
    </row>
    <row r="1435" spans="1:8">
      <c r="A1435" s="437" t="s">
        <v>2999</v>
      </c>
      <c r="B1435" s="435"/>
      <c r="D1435" s="434" t="s">
        <v>4855</v>
      </c>
      <c r="E1435" s="435" t="s">
        <v>4856</v>
      </c>
      <c r="G1435" s="437" t="s">
        <v>10638</v>
      </c>
      <c r="H1435" s="435"/>
    </row>
    <row r="1436" spans="1:8">
      <c r="A1436" s="437" t="s">
        <v>3000</v>
      </c>
      <c r="B1436" s="435"/>
      <c r="D1436" s="437" t="s">
        <v>4857</v>
      </c>
      <c r="E1436" s="435"/>
      <c r="G1436" s="437" t="s">
        <v>10639</v>
      </c>
      <c r="H1436" s="435"/>
    </row>
    <row r="1437" spans="1:8">
      <c r="A1437" s="437" t="s">
        <v>3001</v>
      </c>
      <c r="B1437" s="435"/>
      <c r="D1437" s="434" t="s">
        <v>4858</v>
      </c>
      <c r="E1437" s="435" t="s">
        <v>4859</v>
      </c>
      <c r="G1437" s="437" t="s">
        <v>10640</v>
      </c>
      <c r="H1437" s="435"/>
    </row>
    <row r="1438" spans="1:8">
      <c r="A1438" s="437" t="s">
        <v>3002</v>
      </c>
      <c r="B1438" s="435"/>
      <c r="D1438" s="437" t="s">
        <v>4860</v>
      </c>
      <c r="E1438" s="435"/>
      <c r="G1438" s="437" t="s">
        <v>10641</v>
      </c>
      <c r="H1438" s="435"/>
    </row>
    <row r="1439" spans="1:8">
      <c r="A1439" s="437" t="s">
        <v>3003</v>
      </c>
      <c r="B1439" s="435"/>
      <c r="D1439" s="437" t="s">
        <v>4861</v>
      </c>
      <c r="E1439" s="435"/>
      <c r="G1439" s="437" t="s">
        <v>10642</v>
      </c>
      <c r="H1439" s="435"/>
    </row>
    <row r="1440" spans="1:8">
      <c r="A1440" s="437" t="s">
        <v>3004</v>
      </c>
      <c r="B1440" s="435"/>
      <c r="D1440" s="437" t="s">
        <v>4862</v>
      </c>
      <c r="E1440" s="435"/>
      <c r="G1440" s="437" t="s">
        <v>10643</v>
      </c>
      <c r="H1440" s="435"/>
    </row>
    <row r="1441" spans="1:8">
      <c r="A1441" s="437" t="s">
        <v>3005</v>
      </c>
      <c r="B1441" s="435"/>
      <c r="D1441" s="434" t="s">
        <v>4863</v>
      </c>
      <c r="E1441" s="435" t="s">
        <v>4864</v>
      </c>
      <c r="G1441" s="437" t="s">
        <v>10644</v>
      </c>
      <c r="H1441" s="435"/>
    </row>
    <row r="1442" spans="1:8">
      <c r="A1442" s="434" t="s">
        <v>3006</v>
      </c>
      <c r="B1442" s="435" t="s">
        <v>3007</v>
      </c>
      <c r="D1442" s="434" t="s">
        <v>4865</v>
      </c>
      <c r="E1442" s="435" t="s">
        <v>4864</v>
      </c>
      <c r="G1442" s="437" t="s">
        <v>10645</v>
      </c>
      <c r="H1442" s="435"/>
    </row>
    <row r="1443" spans="1:8">
      <c r="A1443" s="437" t="s">
        <v>3008</v>
      </c>
      <c r="B1443" s="435"/>
      <c r="D1443" s="437" t="s">
        <v>4866</v>
      </c>
      <c r="E1443" s="435"/>
      <c r="G1443" s="437" t="s">
        <v>10646</v>
      </c>
      <c r="H1443" s="435"/>
    </row>
    <row r="1444" spans="1:8">
      <c r="A1444" s="434" t="s">
        <v>3009</v>
      </c>
      <c r="B1444" s="435" t="s">
        <v>3010</v>
      </c>
      <c r="D1444" s="437" t="s">
        <v>4867</v>
      </c>
      <c r="E1444" s="435"/>
      <c r="G1444" s="437" t="s">
        <v>10647</v>
      </c>
      <c r="H1444" s="435"/>
    </row>
    <row r="1445" spans="1:8">
      <c r="A1445" s="437" t="s">
        <v>3011</v>
      </c>
      <c r="B1445" s="435"/>
      <c r="D1445" s="437" t="s">
        <v>4868</v>
      </c>
      <c r="E1445" s="435"/>
      <c r="G1445" s="437" t="s">
        <v>10648</v>
      </c>
      <c r="H1445" s="435"/>
    </row>
    <row r="1446" spans="1:8">
      <c r="A1446" s="434" t="s">
        <v>1068</v>
      </c>
      <c r="B1446" s="435" t="s">
        <v>3012</v>
      </c>
      <c r="D1446" s="437" t="s">
        <v>4869</v>
      </c>
      <c r="E1446" s="435"/>
      <c r="G1446" s="434" t="s">
        <v>7975</v>
      </c>
      <c r="H1446" s="435" t="s">
        <v>7976</v>
      </c>
    </row>
    <row r="1447" spans="1:8">
      <c r="A1447" s="434" t="s">
        <v>115</v>
      </c>
      <c r="B1447" s="435" t="s">
        <v>3013</v>
      </c>
      <c r="D1447" s="437" t="s">
        <v>4870</v>
      </c>
      <c r="E1447" s="435"/>
      <c r="G1447" s="434" t="s">
        <v>7977</v>
      </c>
      <c r="H1447" s="435" t="s">
        <v>7976</v>
      </c>
    </row>
    <row r="1448" spans="1:8">
      <c r="A1448" s="437" t="s">
        <v>3014</v>
      </c>
      <c r="B1448" s="435"/>
      <c r="D1448" s="434" t="s">
        <v>4871</v>
      </c>
      <c r="E1448" s="435" t="s">
        <v>4864</v>
      </c>
      <c r="G1448" s="437" t="s">
        <v>7978</v>
      </c>
      <c r="H1448" s="435"/>
    </row>
    <row r="1449" spans="1:8">
      <c r="A1449" s="437" t="s">
        <v>3015</v>
      </c>
      <c r="B1449" s="435"/>
      <c r="D1449" s="437" t="s">
        <v>4872</v>
      </c>
      <c r="E1449" s="435"/>
      <c r="G1449" s="437" t="s">
        <v>7979</v>
      </c>
      <c r="H1449" s="435"/>
    </row>
    <row r="1450" spans="1:8">
      <c r="A1450" s="437" t="s">
        <v>3016</v>
      </c>
      <c r="B1450" s="435"/>
      <c r="D1450" s="437" t="s">
        <v>4873</v>
      </c>
      <c r="E1450" s="435"/>
      <c r="G1450" s="434" t="s">
        <v>10649</v>
      </c>
      <c r="H1450" s="435" t="s">
        <v>10650</v>
      </c>
    </row>
    <row r="1451" spans="1:8">
      <c r="A1451" s="437" t="s">
        <v>3017</v>
      </c>
      <c r="B1451" s="435"/>
      <c r="D1451" s="437" t="s">
        <v>4874</v>
      </c>
      <c r="E1451" s="435"/>
      <c r="G1451" s="437" t="s">
        <v>10651</v>
      </c>
      <c r="H1451" s="435"/>
    </row>
    <row r="1452" spans="1:8">
      <c r="A1452" s="437" t="s">
        <v>3018</v>
      </c>
      <c r="B1452" s="435"/>
      <c r="D1452" s="434" t="s">
        <v>4875</v>
      </c>
      <c r="E1452" s="435" t="s">
        <v>4876</v>
      </c>
      <c r="G1452" s="437" t="s">
        <v>10652</v>
      </c>
      <c r="H1452" s="435"/>
    </row>
    <row r="1453" spans="1:8">
      <c r="A1453" s="437" t="s">
        <v>3019</v>
      </c>
      <c r="B1453" s="435"/>
      <c r="D1453" s="437" t="s">
        <v>4877</v>
      </c>
      <c r="E1453" s="435"/>
      <c r="G1453" s="437" t="s">
        <v>10653</v>
      </c>
      <c r="H1453" s="435"/>
    </row>
    <row r="1454" spans="1:8">
      <c r="A1454" s="437" t="s">
        <v>3020</v>
      </c>
      <c r="B1454" s="435"/>
      <c r="D1454" s="437" t="s">
        <v>4878</v>
      </c>
      <c r="E1454" s="435"/>
      <c r="G1454" s="437" t="s">
        <v>10654</v>
      </c>
      <c r="H1454" s="435"/>
    </row>
    <row r="1455" spans="1:8">
      <c r="A1455" s="434" t="s">
        <v>3021</v>
      </c>
      <c r="B1455" s="435" t="s">
        <v>3022</v>
      </c>
      <c r="D1455" s="434" t="s">
        <v>4879</v>
      </c>
      <c r="E1455" s="435" t="s">
        <v>4880</v>
      </c>
      <c r="G1455" s="437" t="s">
        <v>10655</v>
      </c>
      <c r="H1455" s="435"/>
    </row>
    <row r="1456" spans="1:8">
      <c r="A1456" s="437" t="s">
        <v>3023</v>
      </c>
      <c r="B1456" s="435"/>
      <c r="D1456" s="437" t="s">
        <v>4881</v>
      </c>
      <c r="E1456" s="435"/>
      <c r="G1456" s="437" t="s">
        <v>10656</v>
      </c>
      <c r="H1456" s="435"/>
    </row>
    <row r="1457" spans="1:8">
      <c r="A1457" s="437" t="s">
        <v>3024</v>
      </c>
      <c r="B1457" s="435"/>
      <c r="D1457" s="437" t="s">
        <v>4882</v>
      </c>
      <c r="E1457" s="435"/>
      <c r="G1457" s="434" t="s">
        <v>10657</v>
      </c>
      <c r="H1457" s="435" t="s">
        <v>10658</v>
      </c>
    </row>
    <row r="1458" spans="1:8">
      <c r="A1458" s="437" t="s">
        <v>3025</v>
      </c>
      <c r="B1458" s="435"/>
      <c r="D1458" s="437" t="s">
        <v>4870</v>
      </c>
      <c r="E1458" s="435"/>
      <c r="G1458" s="437" t="s">
        <v>10659</v>
      </c>
      <c r="H1458" s="435"/>
    </row>
    <row r="1459" spans="1:8">
      <c r="A1459" s="434" t="s">
        <v>3026</v>
      </c>
      <c r="B1459" s="435" t="s">
        <v>3027</v>
      </c>
      <c r="D1459" s="434" t="s">
        <v>4883</v>
      </c>
      <c r="E1459" s="435" t="s">
        <v>4884</v>
      </c>
      <c r="G1459" s="437" t="s">
        <v>10660</v>
      </c>
      <c r="H1459" s="435"/>
    </row>
    <row r="1460" spans="1:8">
      <c r="A1460" s="437" t="s">
        <v>3028</v>
      </c>
      <c r="B1460" s="435"/>
      <c r="D1460" s="437" t="s">
        <v>4885</v>
      </c>
      <c r="E1460" s="435"/>
      <c r="G1460" s="437" t="s">
        <v>10661</v>
      </c>
      <c r="H1460" s="435"/>
    </row>
    <row r="1461" spans="1:8">
      <c r="A1461" s="434" t="s">
        <v>3029</v>
      </c>
      <c r="B1461" s="435" t="s">
        <v>3030</v>
      </c>
      <c r="D1461" s="434" t="s">
        <v>4886</v>
      </c>
      <c r="E1461" s="435" t="s">
        <v>4887</v>
      </c>
      <c r="G1461" s="437" t="s">
        <v>10662</v>
      </c>
      <c r="H1461" s="435"/>
    </row>
    <row r="1462" spans="1:8">
      <c r="A1462" s="437" t="s">
        <v>3031</v>
      </c>
      <c r="B1462" s="435"/>
      <c r="D1462" s="437" t="s">
        <v>4888</v>
      </c>
      <c r="E1462" s="435"/>
      <c r="G1462" s="437" t="s">
        <v>10663</v>
      </c>
      <c r="H1462" s="435"/>
    </row>
    <row r="1463" spans="1:8">
      <c r="A1463" s="437" t="s">
        <v>3032</v>
      </c>
      <c r="B1463" s="435"/>
      <c r="D1463" s="434" t="s">
        <v>4889</v>
      </c>
      <c r="E1463" s="435" t="s">
        <v>4890</v>
      </c>
      <c r="G1463" s="437" t="s">
        <v>10664</v>
      </c>
      <c r="H1463" s="435"/>
    </row>
    <row r="1464" spans="1:8">
      <c r="A1464" s="434" t="s">
        <v>3033</v>
      </c>
      <c r="B1464" s="435" t="s">
        <v>3034</v>
      </c>
      <c r="D1464" s="434" t="s">
        <v>4891</v>
      </c>
      <c r="E1464" s="435" t="s">
        <v>4890</v>
      </c>
      <c r="G1464" s="437" t="s">
        <v>10665</v>
      </c>
      <c r="H1464" s="435"/>
    </row>
    <row r="1465" spans="1:8">
      <c r="A1465" s="437" t="s">
        <v>3035</v>
      </c>
      <c r="B1465" s="435"/>
      <c r="D1465" s="437" t="s">
        <v>4892</v>
      </c>
      <c r="E1465" s="435"/>
      <c r="G1465" s="434" t="s">
        <v>10666</v>
      </c>
      <c r="H1465" s="435" t="s">
        <v>10667</v>
      </c>
    </row>
    <row r="1466" spans="1:8">
      <c r="A1466" s="434" t="s">
        <v>3036</v>
      </c>
      <c r="B1466" s="435" t="s">
        <v>3037</v>
      </c>
      <c r="D1466" s="437" t="s">
        <v>4893</v>
      </c>
      <c r="E1466" s="435"/>
      <c r="G1466" s="434" t="s">
        <v>10668</v>
      </c>
      <c r="H1466" s="435" t="s">
        <v>10669</v>
      </c>
    </row>
    <row r="1467" spans="1:8">
      <c r="A1467" s="437" t="s">
        <v>3038</v>
      </c>
      <c r="B1467" s="435"/>
      <c r="D1467" s="437" t="s">
        <v>4894</v>
      </c>
      <c r="E1467" s="435"/>
      <c r="G1467" s="437" t="s">
        <v>10670</v>
      </c>
      <c r="H1467" s="435"/>
    </row>
    <row r="1468" spans="1:8">
      <c r="A1468" s="437" t="s">
        <v>3039</v>
      </c>
      <c r="B1468" s="435"/>
      <c r="D1468" s="437" t="s">
        <v>4895</v>
      </c>
      <c r="E1468" s="435"/>
      <c r="G1468" s="434" t="s">
        <v>10671</v>
      </c>
      <c r="H1468" s="435" t="s">
        <v>10672</v>
      </c>
    </row>
    <row r="1469" spans="1:8">
      <c r="A1469" s="434" t="s">
        <v>3040</v>
      </c>
      <c r="B1469" s="435" t="s">
        <v>3041</v>
      </c>
      <c r="D1469" s="437" t="s">
        <v>4896</v>
      </c>
      <c r="E1469" s="435"/>
      <c r="G1469" s="437" t="s">
        <v>10673</v>
      </c>
      <c r="H1469" s="435"/>
    </row>
    <row r="1470" spans="1:8">
      <c r="A1470" s="437" t="s">
        <v>3042</v>
      </c>
      <c r="B1470" s="435"/>
      <c r="D1470" s="437" t="s">
        <v>4897</v>
      </c>
      <c r="E1470" s="435"/>
      <c r="G1470" s="434" t="s">
        <v>10674</v>
      </c>
      <c r="H1470" s="435" t="s">
        <v>10675</v>
      </c>
    </row>
    <row r="1471" spans="1:8">
      <c r="A1471" s="434" t="s">
        <v>3043</v>
      </c>
      <c r="B1471" s="435" t="s">
        <v>3044</v>
      </c>
      <c r="D1471" s="434" t="s">
        <v>4898</v>
      </c>
      <c r="E1471" s="435" t="s">
        <v>4899</v>
      </c>
      <c r="G1471" s="437" t="s">
        <v>10676</v>
      </c>
      <c r="H1471" s="435"/>
    </row>
    <row r="1472" spans="1:8">
      <c r="A1472" s="437" t="s">
        <v>3045</v>
      </c>
      <c r="B1472" s="435"/>
      <c r="D1472" s="437" t="s">
        <v>4877</v>
      </c>
      <c r="E1472" s="435"/>
      <c r="G1472" s="434" t="s">
        <v>10677</v>
      </c>
      <c r="H1472" s="435" t="s">
        <v>10678</v>
      </c>
    </row>
    <row r="1473" spans="1:8">
      <c r="A1473" s="434" t="s">
        <v>3046</v>
      </c>
      <c r="B1473" s="435" t="s">
        <v>3047</v>
      </c>
      <c r="D1473" s="437" t="s">
        <v>4900</v>
      </c>
      <c r="E1473" s="435"/>
      <c r="G1473" s="437" t="s">
        <v>10679</v>
      </c>
      <c r="H1473" s="435"/>
    </row>
    <row r="1474" spans="1:8">
      <c r="A1474" s="437" t="s">
        <v>3048</v>
      </c>
      <c r="B1474" s="435"/>
      <c r="D1474" s="437" t="s">
        <v>4901</v>
      </c>
      <c r="E1474" s="435"/>
      <c r="G1474" s="437" t="s">
        <v>10680</v>
      </c>
      <c r="H1474" s="435"/>
    </row>
    <row r="1475" spans="1:8">
      <c r="A1475" s="437" t="s">
        <v>3049</v>
      </c>
      <c r="B1475" s="435"/>
      <c r="D1475" s="434" t="s">
        <v>4902</v>
      </c>
      <c r="E1475" s="435" t="s">
        <v>4903</v>
      </c>
      <c r="G1475" s="437" t="s">
        <v>10681</v>
      </c>
      <c r="H1475" s="435"/>
    </row>
    <row r="1476" spans="1:8">
      <c r="A1476" s="434" t="s">
        <v>3050</v>
      </c>
      <c r="B1476" s="435" t="s">
        <v>3051</v>
      </c>
      <c r="D1476" s="437" t="s">
        <v>4904</v>
      </c>
      <c r="E1476" s="435"/>
      <c r="G1476" s="437" t="s">
        <v>10682</v>
      </c>
      <c r="H1476" s="435"/>
    </row>
    <row r="1477" spans="1:8">
      <c r="A1477" s="437" t="s">
        <v>3052</v>
      </c>
      <c r="B1477" s="435"/>
      <c r="D1477" s="434" t="s">
        <v>4905</v>
      </c>
      <c r="E1477" s="435" t="s">
        <v>4906</v>
      </c>
      <c r="G1477" s="437" t="s">
        <v>10683</v>
      </c>
      <c r="H1477" s="435"/>
    </row>
    <row r="1478" spans="1:8">
      <c r="A1478" s="437" t="s">
        <v>3053</v>
      </c>
      <c r="B1478" s="435"/>
      <c r="D1478" s="437" t="s">
        <v>4907</v>
      </c>
      <c r="E1478" s="435"/>
      <c r="G1478" s="437" t="s">
        <v>10684</v>
      </c>
      <c r="H1478" s="435"/>
    </row>
    <row r="1479" spans="1:8">
      <c r="A1479" s="437" t="s">
        <v>3054</v>
      </c>
      <c r="B1479" s="435"/>
      <c r="D1479" s="434" t="s">
        <v>4908</v>
      </c>
      <c r="E1479" s="435" t="s">
        <v>4909</v>
      </c>
      <c r="G1479" s="437" t="s">
        <v>10685</v>
      </c>
      <c r="H1479" s="435"/>
    </row>
    <row r="1480" spans="1:8">
      <c r="A1480" s="437" t="s">
        <v>3055</v>
      </c>
      <c r="B1480" s="435"/>
      <c r="D1480" s="437" t="s">
        <v>4910</v>
      </c>
      <c r="E1480" s="435"/>
      <c r="G1480" s="437" t="s">
        <v>10686</v>
      </c>
      <c r="H1480" s="435"/>
    </row>
    <row r="1481" spans="1:8">
      <c r="A1481" s="437" t="s">
        <v>3056</v>
      </c>
      <c r="B1481" s="435"/>
      <c r="D1481" s="437" t="s">
        <v>4911</v>
      </c>
      <c r="E1481" s="435"/>
      <c r="G1481" s="434" t="s">
        <v>10687</v>
      </c>
      <c r="H1481" s="435" t="s">
        <v>10688</v>
      </c>
    </row>
    <row r="1482" spans="1:8">
      <c r="A1482" s="434" t="s">
        <v>867</v>
      </c>
      <c r="B1482" s="435" t="s">
        <v>868</v>
      </c>
      <c r="D1482" s="437" t="s">
        <v>4912</v>
      </c>
      <c r="E1482" s="435"/>
      <c r="G1482" s="437" t="s">
        <v>10689</v>
      </c>
      <c r="H1482" s="435"/>
    </row>
    <row r="1483" spans="1:8">
      <c r="A1483" s="437" t="s">
        <v>3057</v>
      </c>
      <c r="B1483" s="435"/>
      <c r="D1483" s="434" t="s">
        <v>4913</v>
      </c>
      <c r="E1483" s="435" t="s">
        <v>4914</v>
      </c>
      <c r="G1483" s="437" t="s">
        <v>10690</v>
      </c>
      <c r="H1483" s="435"/>
    </row>
    <row r="1484" spans="1:8">
      <c r="A1484" s="437" t="s">
        <v>3058</v>
      </c>
      <c r="B1484" s="435"/>
      <c r="D1484" s="437" t="s">
        <v>4915</v>
      </c>
      <c r="E1484" s="435"/>
      <c r="G1484" s="437" t="s">
        <v>10691</v>
      </c>
      <c r="H1484" s="435"/>
    </row>
    <row r="1485" spans="1:8">
      <c r="A1485" s="434" t="s">
        <v>874</v>
      </c>
      <c r="B1485" s="435" t="s">
        <v>3059</v>
      </c>
      <c r="D1485" s="434" t="s">
        <v>4916</v>
      </c>
      <c r="E1485" s="435" t="s">
        <v>4917</v>
      </c>
      <c r="G1485" s="437" t="s">
        <v>10692</v>
      </c>
      <c r="H1485" s="435"/>
    </row>
    <row r="1486" spans="1:8">
      <c r="A1486" s="437" t="s">
        <v>3060</v>
      </c>
      <c r="B1486" s="435"/>
      <c r="D1486" s="434" t="s">
        <v>4918</v>
      </c>
      <c r="E1486" s="435" t="s">
        <v>4917</v>
      </c>
      <c r="G1486" s="434" t="s">
        <v>7994</v>
      </c>
      <c r="H1486" s="435" t="s">
        <v>7995</v>
      </c>
    </row>
    <row r="1487" spans="1:8">
      <c r="A1487" s="437" t="s">
        <v>3061</v>
      </c>
      <c r="B1487" s="435"/>
      <c r="D1487" s="437" t="s">
        <v>4919</v>
      </c>
      <c r="E1487" s="435"/>
      <c r="G1487" s="434" t="s">
        <v>7996</v>
      </c>
      <c r="H1487" s="435" t="s">
        <v>7995</v>
      </c>
    </row>
    <row r="1488" spans="1:8">
      <c r="A1488" s="434" t="s">
        <v>3062</v>
      </c>
      <c r="B1488" s="435" t="s">
        <v>3063</v>
      </c>
      <c r="D1488" s="437" t="s">
        <v>4920</v>
      </c>
      <c r="E1488" s="435"/>
      <c r="G1488" s="437" t="s">
        <v>7997</v>
      </c>
      <c r="H1488" s="435"/>
    </row>
    <row r="1489" spans="1:8">
      <c r="A1489" s="437" t="s">
        <v>3064</v>
      </c>
      <c r="B1489" s="435"/>
      <c r="D1489" s="434" t="s">
        <v>4921</v>
      </c>
      <c r="E1489" s="435" t="s">
        <v>4922</v>
      </c>
      <c r="G1489" s="434" t="s">
        <v>8116</v>
      </c>
      <c r="H1489" s="435" t="s">
        <v>8117</v>
      </c>
    </row>
    <row r="1490" spans="1:8">
      <c r="A1490" s="437" t="s">
        <v>3065</v>
      </c>
      <c r="B1490" s="435"/>
      <c r="D1490" s="437" t="s">
        <v>4923</v>
      </c>
      <c r="E1490" s="435"/>
      <c r="G1490" s="437" t="s">
        <v>8118</v>
      </c>
      <c r="H1490" s="435"/>
    </row>
    <row r="1491" spans="1:8">
      <c r="A1491" s="434" t="s">
        <v>3066</v>
      </c>
      <c r="B1491" s="435" t="s">
        <v>3067</v>
      </c>
      <c r="D1491" s="437" t="s">
        <v>4924</v>
      </c>
      <c r="E1491" s="435"/>
      <c r="G1491" s="437" t="s">
        <v>8119</v>
      </c>
      <c r="H1491" s="435"/>
    </row>
    <row r="1492" spans="1:8">
      <c r="A1492" s="437" t="s">
        <v>3068</v>
      </c>
      <c r="B1492" s="435"/>
      <c r="D1492" s="437" t="s">
        <v>4925</v>
      </c>
      <c r="E1492" s="435"/>
      <c r="G1492" s="434" t="s">
        <v>10693</v>
      </c>
      <c r="H1492" s="435" t="s">
        <v>10694</v>
      </c>
    </row>
    <row r="1493" spans="1:8">
      <c r="A1493" s="437" t="s">
        <v>3069</v>
      </c>
      <c r="B1493" s="435"/>
      <c r="D1493" s="434" t="s">
        <v>4926</v>
      </c>
      <c r="E1493" s="435" t="s">
        <v>4927</v>
      </c>
      <c r="G1493" s="437" t="s">
        <v>10695</v>
      </c>
      <c r="H1493" s="435"/>
    </row>
    <row r="1494" spans="1:8">
      <c r="A1494" s="437" t="s">
        <v>3070</v>
      </c>
      <c r="B1494" s="435"/>
      <c r="D1494" s="437" t="s">
        <v>4928</v>
      </c>
      <c r="E1494" s="435"/>
      <c r="G1494" s="437" t="s">
        <v>10696</v>
      </c>
      <c r="H1494" s="435"/>
    </row>
    <row r="1495" spans="1:8">
      <c r="A1495" s="434" t="s">
        <v>117</v>
      </c>
      <c r="B1495" s="435" t="s">
        <v>3071</v>
      </c>
      <c r="D1495" s="437" t="s">
        <v>4929</v>
      </c>
      <c r="E1495" s="435"/>
      <c r="G1495" s="437" t="s">
        <v>10697</v>
      </c>
      <c r="H1495" s="435"/>
    </row>
    <row r="1496" spans="1:8">
      <c r="A1496" s="437" t="s">
        <v>3072</v>
      </c>
      <c r="B1496" s="435"/>
      <c r="D1496" s="434" t="s">
        <v>4930</v>
      </c>
      <c r="E1496" s="435" t="s">
        <v>4931</v>
      </c>
      <c r="G1496" s="437" t="s">
        <v>10698</v>
      </c>
      <c r="H1496" s="435"/>
    </row>
    <row r="1497" spans="1:8">
      <c r="A1497" s="437" t="s">
        <v>3073</v>
      </c>
      <c r="B1497" s="435"/>
      <c r="D1497" s="437" t="s">
        <v>4932</v>
      </c>
      <c r="E1497" s="435"/>
      <c r="G1497" s="434" t="s">
        <v>10699</v>
      </c>
      <c r="H1497" s="435" t="s">
        <v>10700</v>
      </c>
    </row>
    <row r="1498" spans="1:8">
      <c r="A1498" s="437" t="s">
        <v>3074</v>
      </c>
      <c r="B1498" s="435"/>
      <c r="D1498" s="437" t="s">
        <v>4933</v>
      </c>
      <c r="E1498" s="435"/>
      <c r="G1498" s="437" t="s">
        <v>10701</v>
      </c>
      <c r="H1498" s="435"/>
    </row>
    <row r="1499" spans="1:8">
      <c r="A1499" s="437" t="s">
        <v>3075</v>
      </c>
      <c r="B1499" s="435"/>
      <c r="D1499" s="434" t="s">
        <v>4934</v>
      </c>
      <c r="E1499" s="435" t="s">
        <v>4935</v>
      </c>
      <c r="G1499" s="437" t="s">
        <v>10702</v>
      </c>
      <c r="H1499" s="435"/>
    </row>
    <row r="1500" spans="1:8">
      <c r="A1500" s="437" t="s">
        <v>3076</v>
      </c>
      <c r="B1500" s="435"/>
      <c r="D1500" s="434" t="s">
        <v>4936</v>
      </c>
      <c r="E1500" s="435" t="s">
        <v>4937</v>
      </c>
      <c r="G1500" s="437" t="s">
        <v>10703</v>
      </c>
      <c r="H1500" s="435"/>
    </row>
    <row r="1501" spans="1:8">
      <c r="A1501" s="437" t="s">
        <v>3077</v>
      </c>
      <c r="B1501" s="435"/>
      <c r="D1501" s="434" t="s">
        <v>4938</v>
      </c>
      <c r="E1501" s="435" t="s">
        <v>4937</v>
      </c>
      <c r="G1501" s="437" t="s">
        <v>10704</v>
      </c>
      <c r="H1501" s="435"/>
    </row>
    <row r="1502" spans="1:8">
      <c r="A1502" s="434" t="s">
        <v>3078</v>
      </c>
      <c r="B1502" s="435" t="s">
        <v>3079</v>
      </c>
      <c r="D1502" s="437" t="s">
        <v>4939</v>
      </c>
      <c r="E1502" s="435"/>
      <c r="G1502" s="437" t="s">
        <v>10705</v>
      </c>
      <c r="H1502" s="435"/>
    </row>
    <row r="1503" spans="1:8">
      <c r="A1503" s="434" t="s">
        <v>3080</v>
      </c>
      <c r="B1503" s="435" t="s">
        <v>3079</v>
      </c>
      <c r="D1503" s="437" t="s">
        <v>4940</v>
      </c>
      <c r="E1503" s="435"/>
      <c r="G1503" s="437" t="s">
        <v>10706</v>
      </c>
      <c r="H1503" s="435"/>
    </row>
    <row r="1504" spans="1:8">
      <c r="A1504" s="437" t="s">
        <v>3081</v>
      </c>
      <c r="B1504" s="435"/>
      <c r="D1504" s="434" t="s">
        <v>4941</v>
      </c>
      <c r="E1504" s="435" t="s">
        <v>4937</v>
      </c>
      <c r="G1504" s="437" t="s">
        <v>10707</v>
      </c>
      <c r="H1504" s="435"/>
    </row>
    <row r="1505" spans="1:8">
      <c r="A1505" s="437" t="s">
        <v>3082</v>
      </c>
      <c r="B1505" s="435"/>
      <c r="D1505" s="437" t="s">
        <v>4942</v>
      </c>
      <c r="E1505" s="435"/>
      <c r="G1505" s="437" t="s">
        <v>10708</v>
      </c>
      <c r="H1505" s="435"/>
    </row>
    <row r="1506" spans="1:8">
      <c r="A1506" s="434" t="s">
        <v>3083</v>
      </c>
      <c r="B1506" s="435" t="s">
        <v>3084</v>
      </c>
      <c r="D1506" s="437" t="s">
        <v>4943</v>
      </c>
      <c r="E1506" s="435"/>
      <c r="G1506" s="437" t="s">
        <v>10709</v>
      </c>
      <c r="H1506" s="435"/>
    </row>
    <row r="1507" spans="1:8">
      <c r="A1507" s="437" t="s">
        <v>3085</v>
      </c>
      <c r="B1507" s="435"/>
      <c r="D1507" s="437" t="s">
        <v>4944</v>
      </c>
      <c r="E1507" s="435"/>
      <c r="G1507" s="437" t="s">
        <v>10710</v>
      </c>
      <c r="H1507" s="435"/>
    </row>
    <row r="1508" spans="1:8">
      <c r="A1508" s="437" t="s">
        <v>3086</v>
      </c>
      <c r="B1508" s="435"/>
      <c r="D1508" s="434" t="s">
        <v>524</v>
      </c>
      <c r="E1508" s="435" t="s">
        <v>4945</v>
      </c>
      <c r="G1508" s="437" t="s">
        <v>10711</v>
      </c>
      <c r="H1508" s="435"/>
    </row>
    <row r="1509" spans="1:8">
      <c r="A1509" s="437" t="s">
        <v>3087</v>
      </c>
      <c r="B1509" s="435"/>
      <c r="D1509" s="434" t="s">
        <v>4946</v>
      </c>
      <c r="E1509" s="435" t="s">
        <v>4945</v>
      </c>
      <c r="G1509" s="437" t="s">
        <v>10712</v>
      </c>
      <c r="H1509" s="435"/>
    </row>
    <row r="1510" spans="1:8">
      <c r="A1510" s="437" t="s">
        <v>3088</v>
      </c>
      <c r="B1510" s="435"/>
      <c r="D1510" s="437" t="s">
        <v>4947</v>
      </c>
      <c r="E1510" s="435"/>
      <c r="G1510" s="437" t="s">
        <v>10713</v>
      </c>
      <c r="H1510" s="435"/>
    </row>
    <row r="1511" spans="1:8">
      <c r="A1511" s="437" t="s">
        <v>3089</v>
      </c>
      <c r="B1511" s="435"/>
      <c r="D1511" s="437" t="s">
        <v>4948</v>
      </c>
      <c r="E1511" s="435"/>
      <c r="G1511" s="437" t="s">
        <v>10714</v>
      </c>
      <c r="H1511" s="435"/>
    </row>
    <row r="1512" spans="1:8">
      <c r="A1512" s="434" t="s">
        <v>870</v>
      </c>
      <c r="B1512" s="435" t="s">
        <v>3090</v>
      </c>
      <c r="D1512" s="437" t="s">
        <v>4949</v>
      </c>
      <c r="E1512" s="435"/>
      <c r="G1512" s="437" t="s">
        <v>10715</v>
      </c>
      <c r="H1512" s="435"/>
    </row>
    <row r="1513" spans="1:8">
      <c r="A1513" s="437" t="s">
        <v>3091</v>
      </c>
      <c r="B1513" s="435"/>
      <c r="D1513" s="434" t="s">
        <v>4950</v>
      </c>
      <c r="E1513" s="435" t="s">
        <v>4945</v>
      </c>
      <c r="G1513" s="437" t="s">
        <v>10716</v>
      </c>
      <c r="H1513" s="435"/>
    </row>
    <row r="1514" spans="1:8">
      <c r="A1514" s="437" t="s">
        <v>3092</v>
      </c>
      <c r="B1514" s="435"/>
      <c r="D1514" s="437" t="s">
        <v>4951</v>
      </c>
      <c r="E1514" s="435"/>
      <c r="G1514" s="437" t="s">
        <v>10717</v>
      </c>
      <c r="H1514" s="435"/>
    </row>
    <row r="1515" spans="1:8">
      <c r="A1515" s="437" t="s">
        <v>3093</v>
      </c>
      <c r="B1515" s="435"/>
      <c r="D1515" s="434" t="s">
        <v>4952</v>
      </c>
      <c r="E1515" s="435" t="s">
        <v>4953</v>
      </c>
      <c r="G1515" s="434" t="s">
        <v>10718</v>
      </c>
      <c r="H1515" s="435" t="s">
        <v>10719</v>
      </c>
    </row>
    <row r="1516" spans="1:8">
      <c r="A1516" s="437" t="s">
        <v>3094</v>
      </c>
      <c r="B1516" s="435"/>
      <c r="D1516" s="437" t="s">
        <v>4954</v>
      </c>
      <c r="E1516" s="435"/>
      <c r="G1516" s="437" t="s">
        <v>10720</v>
      </c>
      <c r="H1516" s="435"/>
    </row>
    <row r="1517" spans="1:8">
      <c r="A1517" s="434" t="s">
        <v>869</v>
      </c>
      <c r="B1517" s="435" t="s">
        <v>3095</v>
      </c>
      <c r="D1517" s="437" t="s">
        <v>4955</v>
      </c>
      <c r="E1517" s="435"/>
      <c r="G1517" s="437" t="s">
        <v>10721</v>
      </c>
      <c r="H1517" s="435"/>
    </row>
    <row r="1518" spans="1:8">
      <c r="A1518" s="434" t="s">
        <v>3096</v>
      </c>
      <c r="B1518" s="435" t="s">
        <v>3097</v>
      </c>
      <c r="D1518" s="434" t="s">
        <v>4956</v>
      </c>
      <c r="E1518" s="435" t="s">
        <v>4957</v>
      </c>
      <c r="G1518" s="437" t="s">
        <v>10722</v>
      </c>
      <c r="H1518" s="435"/>
    </row>
    <row r="1519" spans="1:8">
      <c r="A1519" s="437" t="s">
        <v>3098</v>
      </c>
      <c r="B1519" s="435"/>
      <c r="D1519" s="437" t="s">
        <v>4958</v>
      </c>
      <c r="E1519" s="435"/>
      <c r="G1519" s="434" t="s">
        <v>10723</v>
      </c>
      <c r="H1519" s="435" t="s">
        <v>10724</v>
      </c>
    </row>
    <row r="1520" spans="1:8">
      <c r="A1520" s="434" t="s">
        <v>3099</v>
      </c>
      <c r="B1520" s="435" t="s">
        <v>3100</v>
      </c>
      <c r="D1520" s="437" t="s">
        <v>4959</v>
      </c>
      <c r="E1520" s="435"/>
      <c r="G1520" s="437" t="s">
        <v>10725</v>
      </c>
      <c r="H1520" s="435"/>
    </row>
    <row r="1521" spans="1:8">
      <c r="A1521" s="434" t="s">
        <v>3101</v>
      </c>
      <c r="B1521" s="435" t="s">
        <v>3100</v>
      </c>
      <c r="D1521" s="437" t="s">
        <v>4960</v>
      </c>
      <c r="E1521" s="435"/>
      <c r="G1521" s="437" t="s">
        <v>10726</v>
      </c>
      <c r="H1521" s="435"/>
    </row>
    <row r="1522" spans="1:8">
      <c r="A1522" s="437" t="s">
        <v>3102</v>
      </c>
      <c r="B1522" s="435"/>
      <c r="D1522" s="437" t="s">
        <v>4961</v>
      </c>
      <c r="E1522" s="435"/>
      <c r="G1522" s="437" t="s">
        <v>10727</v>
      </c>
      <c r="H1522" s="435"/>
    </row>
    <row r="1523" spans="1:8">
      <c r="A1523" s="434" t="s">
        <v>118</v>
      </c>
      <c r="B1523" s="435" t="s">
        <v>3103</v>
      </c>
      <c r="D1523" s="437" t="s">
        <v>4962</v>
      </c>
      <c r="E1523" s="435"/>
      <c r="G1523" s="437" t="s">
        <v>10728</v>
      </c>
      <c r="H1523" s="435"/>
    </row>
    <row r="1524" spans="1:8">
      <c r="A1524" s="434" t="s">
        <v>3104</v>
      </c>
      <c r="B1524" s="435" t="s">
        <v>3103</v>
      </c>
      <c r="D1524" s="437" t="s">
        <v>4963</v>
      </c>
      <c r="E1524" s="435"/>
      <c r="G1524" s="437" t="s">
        <v>10729</v>
      </c>
      <c r="H1524" s="435"/>
    </row>
    <row r="1525" spans="1:8">
      <c r="A1525" s="437" t="s">
        <v>3105</v>
      </c>
      <c r="B1525" s="435"/>
      <c r="D1525" s="434" t="s">
        <v>4964</v>
      </c>
      <c r="E1525" s="435" t="s">
        <v>4965</v>
      </c>
      <c r="G1525" s="437" t="s">
        <v>10730</v>
      </c>
      <c r="H1525" s="435"/>
    </row>
    <row r="1526" spans="1:8">
      <c r="A1526" s="434" t="s">
        <v>3106</v>
      </c>
      <c r="B1526" s="435" t="s">
        <v>3107</v>
      </c>
      <c r="D1526" s="437" t="s">
        <v>4966</v>
      </c>
      <c r="E1526" s="435"/>
      <c r="G1526" s="437" t="s">
        <v>10731</v>
      </c>
      <c r="H1526" s="435"/>
    </row>
    <row r="1527" spans="1:8">
      <c r="A1527" s="437" t="s">
        <v>3108</v>
      </c>
      <c r="B1527" s="435"/>
      <c r="D1527" s="434" t="s">
        <v>4967</v>
      </c>
      <c r="E1527" s="435" t="s">
        <v>4968</v>
      </c>
      <c r="G1527" s="437" t="s">
        <v>10732</v>
      </c>
      <c r="H1527" s="435"/>
    </row>
    <row r="1528" spans="1:8">
      <c r="A1528" s="437" t="s">
        <v>3109</v>
      </c>
      <c r="B1528" s="435"/>
      <c r="D1528" s="434" t="s">
        <v>4969</v>
      </c>
      <c r="E1528" s="435" t="s">
        <v>4968</v>
      </c>
      <c r="G1528" s="437" t="s">
        <v>10733</v>
      </c>
      <c r="H1528" s="435"/>
    </row>
    <row r="1529" spans="1:8">
      <c r="A1529" s="437" t="s">
        <v>3110</v>
      </c>
      <c r="B1529" s="435"/>
      <c r="D1529" s="434" t="s">
        <v>4970</v>
      </c>
      <c r="E1529" s="435"/>
      <c r="G1529" s="437" t="s">
        <v>10734</v>
      </c>
      <c r="H1529" s="435"/>
    </row>
    <row r="1530" spans="1:8">
      <c r="A1530" s="437" t="s">
        <v>3111</v>
      </c>
      <c r="B1530" s="435"/>
      <c r="D1530" s="434" t="s">
        <v>4971</v>
      </c>
      <c r="E1530" s="435" t="s">
        <v>4972</v>
      </c>
      <c r="G1530" s="434" t="s">
        <v>10735</v>
      </c>
      <c r="H1530" s="435" t="s">
        <v>10736</v>
      </c>
    </row>
    <row r="1531" spans="1:8">
      <c r="A1531" s="437" t="s">
        <v>3112</v>
      </c>
      <c r="B1531" s="435"/>
      <c r="D1531" s="437" t="s">
        <v>4973</v>
      </c>
      <c r="E1531" s="435"/>
      <c r="G1531" s="437" t="s">
        <v>10737</v>
      </c>
      <c r="H1531" s="435"/>
    </row>
    <row r="1532" spans="1:8">
      <c r="A1532" s="434" t="s">
        <v>3113</v>
      </c>
      <c r="B1532" s="435" t="s">
        <v>3114</v>
      </c>
      <c r="D1532" s="437" t="s">
        <v>4974</v>
      </c>
      <c r="E1532" s="435"/>
      <c r="G1532" s="437" t="s">
        <v>10738</v>
      </c>
      <c r="H1532" s="435"/>
    </row>
    <row r="1533" spans="1:8">
      <c r="A1533" s="437" t="s">
        <v>3115</v>
      </c>
      <c r="B1533" s="435"/>
      <c r="D1533" s="434" t="s">
        <v>4975</v>
      </c>
      <c r="E1533" s="435" t="s">
        <v>4976</v>
      </c>
      <c r="G1533" s="437" t="s">
        <v>10739</v>
      </c>
      <c r="H1533" s="435"/>
    </row>
    <row r="1534" spans="1:8">
      <c r="A1534" s="434" t="s">
        <v>3116</v>
      </c>
      <c r="B1534" s="435" t="s">
        <v>3117</v>
      </c>
      <c r="D1534" s="434" t="s">
        <v>4977</v>
      </c>
      <c r="E1534" s="435" t="s">
        <v>4978</v>
      </c>
      <c r="G1534" s="437" t="s">
        <v>10740</v>
      </c>
      <c r="H1534" s="435"/>
    </row>
    <row r="1535" spans="1:8">
      <c r="A1535" s="437" t="s">
        <v>3118</v>
      </c>
      <c r="B1535" s="435"/>
      <c r="D1535" s="434" t="s">
        <v>4979</v>
      </c>
      <c r="E1535" s="435" t="s">
        <v>4980</v>
      </c>
      <c r="G1535" s="437" t="s">
        <v>10741</v>
      </c>
      <c r="H1535" s="435"/>
    </row>
    <row r="1536" spans="1:8">
      <c r="A1536" s="434" t="s">
        <v>866</v>
      </c>
      <c r="B1536" s="435" t="s">
        <v>3119</v>
      </c>
      <c r="D1536" s="437" t="s">
        <v>4981</v>
      </c>
      <c r="E1536" s="435"/>
      <c r="G1536" s="437" t="s">
        <v>10742</v>
      </c>
      <c r="H1536" s="435"/>
    </row>
    <row r="1537" spans="1:8">
      <c r="A1537" s="437" t="s">
        <v>3120</v>
      </c>
      <c r="B1537" s="435"/>
      <c r="D1537" s="437" t="s">
        <v>4982</v>
      </c>
      <c r="E1537" s="435"/>
      <c r="G1537" s="437" t="s">
        <v>10743</v>
      </c>
      <c r="H1537" s="435"/>
    </row>
    <row r="1538" spans="1:8">
      <c r="A1538" s="437" t="s">
        <v>3121</v>
      </c>
      <c r="B1538" s="435"/>
      <c r="D1538" s="437" t="s">
        <v>4983</v>
      </c>
      <c r="E1538" s="435"/>
      <c r="G1538" s="437" t="s">
        <v>10744</v>
      </c>
      <c r="H1538" s="435"/>
    </row>
    <row r="1539" spans="1:8">
      <c r="A1539" s="434" t="s">
        <v>3122</v>
      </c>
      <c r="B1539" s="435" t="s">
        <v>3123</v>
      </c>
      <c r="D1539" s="434" t="s">
        <v>4984</v>
      </c>
      <c r="E1539" s="435" t="s">
        <v>4985</v>
      </c>
      <c r="G1539" s="437" t="s">
        <v>10744</v>
      </c>
      <c r="H1539" s="435"/>
    </row>
    <row r="1540" spans="1:8">
      <c r="A1540" s="437" t="s">
        <v>3124</v>
      </c>
      <c r="B1540" s="435"/>
      <c r="D1540" s="434" t="s">
        <v>4986</v>
      </c>
      <c r="E1540" s="435"/>
      <c r="G1540" s="437" t="s">
        <v>10744</v>
      </c>
      <c r="H1540" s="435"/>
    </row>
    <row r="1541" spans="1:8">
      <c r="A1541" s="437" t="s">
        <v>3125</v>
      </c>
      <c r="B1541" s="435"/>
      <c r="D1541" s="437" t="s">
        <v>4987</v>
      </c>
      <c r="E1541" s="435"/>
      <c r="G1541" s="437" t="s">
        <v>10745</v>
      </c>
      <c r="H1541" s="435"/>
    </row>
    <row r="1542" spans="1:8">
      <c r="A1542" s="434" t="s">
        <v>3126</v>
      </c>
      <c r="B1542" s="435" t="s">
        <v>3127</v>
      </c>
      <c r="D1542" s="437" t="s">
        <v>4988</v>
      </c>
      <c r="E1542" s="435"/>
      <c r="G1542" s="437" t="s">
        <v>10746</v>
      </c>
      <c r="H1542" s="435"/>
    </row>
    <row r="1543" spans="1:8">
      <c r="A1543" s="434" t="s">
        <v>3128</v>
      </c>
      <c r="B1543" s="435" t="s">
        <v>3127</v>
      </c>
      <c r="D1543" s="437" t="s">
        <v>4989</v>
      </c>
      <c r="E1543" s="435"/>
      <c r="G1543" s="437" t="s">
        <v>10747</v>
      </c>
      <c r="H1543" s="435"/>
    </row>
    <row r="1544" spans="1:8">
      <c r="A1544" s="437" t="s">
        <v>3129</v>
      </c>
      <c r="B1544" s="435"/>
      <c r="D1544" s="434" t="s">
        <v>4990</v>
      </c>
      <c r="E1544" s="435"/>
      <c r="G1544" s="437" t="s">
        <v>10748</v>
      </c>
      <c r="H1544" s="435"/>
    </row>
    <row r="1545" spans="1:8">
      <c r="A1545" s="437" t="s">
        <v>3130</v>
      </c>
      <c r="B1545" s="435"/>
      <c r="D1545" s="434" t="s">
        <v>4991</v>
      </c>
      <c r="E1545" s="435" t="s">
        <v>4992</v>
      </c>
      <c r="G1545" s="437" t="s">
        <v>10749</v>
      </c>
      <c r="H1545" s="435"/>
    </row>
    <row r="1546" spans="1:8">
      <c r="A1546" s="437" t="s">
        <v>3131</v>
      </c>
      <c r="B1546" s="435"/>
      <c r="D1546" s="437" t="s">
        <v>4993</v>
      </c>
      <c r="E1546" s="435"/>
      <c r="G1546" s="437" t="s">
        <v>10750</v>
      </c>
      <c r="H1546" s="435"/>
    </row>
    <row r="1547" spans="1:8">
      <c r="A1547" s="437" t="s">
        <v>3132</v>
      </c>
      <c r="B1547" s="435"/>
      <c r="D1547" s="437" t="s">
        <v>4994</v>
      </c>
      <c r="E1547" s="435"/>
      <c r="G1547" s="437" t="s">
        <v>10751</v>
      </c>
      <c r="H1547" s="435"/>
    </row>
    <row r="1548" spans="1:8">
      <c r="A1548" s="437" t="s">
        <v>3133</v>
      </c>
      <c r="B1548" s="435"/>
      <c r="D1548" s="434" t="s">
        <v>4995</v>
      </c>
      <c r="E1548" s="435" t="s">
        <v>4996</v>
      </c>
      <c r="G1548" s="437" t="s">
        <v>10752</v>
      </c>
      <c r="H1548" s="435"/>
    </row>
    <row r="1549" spans="1:8">
      <c r="A1549" s="437" t="s">
        <v>3134</v>
      </c>
      <c r="B1549" s="435"/>
      <c r="D1549" s="434" t="s">
        <v>4997</v>
      </c>
      <c r="E1549" s="435" t="s">
        <v>4996</v>
      </c>
      <c r="G1549" s="437" t="s">
        <v>10753</v>
      </c>
      <c r="H1549" s="435"/>
    </row>
    <row r="1550" spans="1:8">
      <c r="A1550" s="434" t="s">
        <v>3135</v>
      </c>
      <c r="B1550" s="435" t="s">
        <v>3127</v>
      </c>
      <c r="D1550" s="437" t="s">
        <v>4998</v>
      </c>
      <c r="E1550" s="435"/>
      <c r="G1550" s="437" t="s">
        <v>10754</v>
      </c>
      <c r="H1550" s="435"/>
    </row>
    <row r="1551" spans="1:8">
      <c r="A1551" s="437" t="s">
        <v>3136</v>
      </c>
      <c r="B1551" s="435"/>
      <c r="D1551" s="437" t="s">
        <v>4999</v>
      </c>
      <c r="E1551" s="435"/>
      <c r="G1551" s="434" t="s">
        <v>10755</v>
      </c>
      <c r="H1551" s="435" t="s">
        <v>10756</v>
      </c>
    </row>
    <row r="1552" spans="1:8">
      <c r="A1552" s="437" t="s">
        <v>3137</v>
      </c>
      <c r="B1552" s="435"/>
      <c r="D1552" s="434" t="s">
        <v>5000</v>
      </c>
      <c r="E1552" s="435" t="s">
        <v>5001</v>
      </c>
      <c r="G1552" s="434" t="s">
        <v>10757</v>
      </c>
      <c r="H1552" s="435" t="s">
        <v>10756</v>
      </c>
    </row>
    <row r="1553" spans="1:8">
      <c r="A1553" s="434" t="s">
        <v>3138</v>
      </c>
      <c r="B1553" s="435" t="s">
        <v>3127</v>
      </c>
      <c r="D1553" s="437" t="s">
        <v>5002</v>
      </c>
      <c r="E1553" s="435"/>
      <c r="G1553" s="437" t="s">
        <v>10758</v>
      </c>
      <c r="H1553" s="435"/>
    </row>
    <row r="1554" spans="1:8">
      <c r="A1554" s="437" t="s">
        <v>3139</v>
      </c>
      <c r="B1554" s="435"/>
      <c r="D1554" s="437" t="s">
        <v>5003</v>
      </c>
      <c r="E1554" s="435"/>
      <c r="G1554" s="437" t="s">
        <v>10759</v>
      </c>
      <c r="H1554" s="435"/>
    </row>
    <row r="1555" spans="1:8">
      <c r="A1555" s="437" t="s">
        <v>3140</v>
      </c>
      <c r="B1555" s="435"/>
      <c r="D1555" s="434" t="s">
        <v>5004</v>
      </c>
      <c r="E1555" s="435" t="s">
        <v>5005</v>
      </c>
      <c r="G1555" s="437" t="s">
        <v>10760</v>
      </c>
      <c r="H1555" s="435"/>
    </row>
    <row r="1556" spans="1:8">
      <c r="A1556" s="434" t="s">
        <v>3141</v>
      </c>
      <c r="B1556" s="435" t="s">
        <v>3142</v>
      </c>
      <c r="D1556" s="437" t="s">
        <v>5006</v>
      </c>
      <c r="E1556" s="435"/>
      <c r="G1556" s="437" t="s">
        <v>10761</v>
      </c>
      <c r="H1556" s="435"/>
    </row>
    <row r="1557" spans="1:8">
      <c r="A1557" s="434" t="s">
        <v>3143</v>
      </c>
      <c r="B1557" s="435" t="s">
        <v>3142</v>
      </c>
      <c r="D1557" s="437" t="s">
        <v>5007</v>
      </c>
      <c r="E1557" s="435"/>
      <c r="G1557" s="437" t="s">
        <v>10762</v>
      </c>
      <c r="H1557" s="435"/>
    </row>
    <row r="1558" spans="1:8">
      <c r="A1558" s="437" t="s">
        <v>3144</v>
      </c>
      <c r="B1558" s="435"/>
      <c r="D1558" s="437" t="s">
        <v>5008</v>
      </c>
      <c r="E1558" s="435"/>
      <c r="G1558" s="437" t="s">
        <v>10763</v>
      </c>
      <c r="H1558" s="435"/>
    </row>
    <row r="1559" spans="1:8">
      <c r="A1559" s="434" t="s">
        <v>3145</v>
      </c>
      <c r="B1559" s="435" t="s">
        <v>3146</v>
      </c>
      <c r="D1559" s="434" t="s">
        <v>5009</v>
      </c>
      <c r="E1559" s="435" t="s">
        <v>5010</v>
      </c>
      <c r="G1559" s="437" t="s">
        <v>10764</v>
      </c>
      <c r="H1559" s="435"/>
    </row>
    <row r="1560" spans="1:8">
      <c r="A1560" s="434" t="s">
        <v>3147</v>
      </c>
      <c r="B1560" s="435" t="s">
        <v>3146</v>
      </c>
      <c r="D1560" s="437" t="s">
        <v>5011</v>
      </c>
      <c r="E1560" s="435"/>
      <c r="G1560" s="437" t="s">
        <v>10765</v>
      </c>
      <c r="H1560" s="435"/>
    </row>
    <row r="1561" spans="1:8">
      <c r="A1561" s="437" t="s">
        <v>3148</v>
      </c>
      <c r="B1561" s="435"/>
      <c r="D1561" s="437" t="s">
        <v>5012</v>
      </c>
      <c r="E1561" s="435"/>
      <c r="G1561" s="437" t="s">
        <v>10766</v>
      </c>
      <c r="H1561" s="435"/>
    </row>
    <row r="1562" spans="1:8">
      <c r="A1562" s="434" t="s">
        <v>3149</v>
      </c>
      <c r="B1562" s="435" t="s">
        <v>3146</v>
      </c>
      <c r="D1562" s="434" t="s">
        <v>5013</v>
      </c>
      <c r="E1562" s="435" t="s">
        <v>5014</v>
      </c>
      <c r="G1562" s="434" t="s">
        <v>10767</v>
      </c>
      <c r="H1562" s="435" t="s">
        <v>10756</v>
      </c>
    </row>
    <row r="1563" spans="1:8">
      <c r="A1563" s="437" t="s">
        <v>3150</v>
      </c>
      <c r="B1563" s="435"/>
      <c r="D1563" s="437" t="s">
        <v>5015</v>
      </c>
      <c r="E1563" s="435"/>
      <c r="G1563" s="437" t="s">
        <v>10768</v>
      </c>
      <c r="H1563" s="435"/>
    </row>
    <row r="1564" spans="1:8">
      <c r="A1564" s="437" t="s">
        <v>3151</v>
      </c>
      <c r="D1564" s="437" t="s">
        <v>5016</v>
      </c>
      <c r="E1564" s="435"/>
      <c r="G1564" s="437" t="s">
        <v>10769</v>
      </c>
      <c r="H1564" s="435"/>
    </row>
    <row r="1565" spans="1:8">
      <c r="D1565" s="437" t="s">
        <v>5017</v>
      </c>
      <c r="E1565" s="435"/>
      <c r="G1565" s="437" t="s">
        <v>10770</v>
      </c>
      <c r="H1565" s="435"/>
    </row>
    <row r="1566" spans="1:8">
      <c r="D1566" s="434" t="s">
        <v>5018</v>
      </c>
      <c r="E1566" s="435" t="s">
        <v>5019</v>
      </c>
      <c r="G1566" s="437" t="s">
        <v>10771</v>
      </c>
      <c r="H1566" s="435"/>
    </row>
    <row r="1567" spans="1:8">
      <c r="D1567" s="437" t="s">
        <v>5020</v>
      </c>
      <c r="E1567" s="435"/>
      <c r="G1567" s="437" t="s">
        <v>10772</v>
      </c>
      <c r="H1567" s="435"/>
    </row>
    <row r="1568" spans="1:8">
      <c r="D1568" s="434" t="s">
        <v>5021</v>
      </c>
      <c r="E1568" s="435" t="s">
        <v>5022</v>
      </c>
      <c r="G1568" s="437" t="s">
        <v>10773</v>
      </c>
      <c r="H1568" s="435"/>
    </row>
    <row r="1569" spans="4:8">
      <c r="D1569" s="437" t="s">
        <v>5023</v>
      </c>
      <c r="E1569" s="435"/>
      <c r="G1569" s="437" t="s">
        <v>10774</v>
      </c>
      <c r="H1569" s="435"/>
    </row>
    <row r="1570" spans="4:8">
      <c r="D1570" s="437" t="s">
        <v>5024</v>
      </c>
      <c r="E1570" s="435"/>
      <c r="G1570" s="437" t="s">
        <v>10775</v>
      </c>
      <c r="H1570" s="435"/>
    </row>
    <row r="1571" spans="4:8">
      <c r="D1571" s="437" t="s">
        <v>5025</v>
      </c>
      <c r="E1571" s="435"/>
      <c r="G1571" s="437" t="s">
        <v>10776</v>
      </c>
      <c r="H1571" s="435"/>
    </row>
    <row r="1572" spans="4:8">
      <c r="D1572" s="437" t="s">
        <v>5026</v>
      </c>
      <c r="E1572" s="435"/>
      <c r="G1572" s="437" t="s">
        <v>10777</v>
      </c>
      <c r="H1572" s="435"/>
    </row>
    <row r="1573" spans="4:8">
      <c r="D1573" s="434" t="s">
        <v>5027</v>
      </c>
      <c r="E1573" s="435" t="s">
        <v>5028</v>
      </c>
      <c r="G1573" s="434" t="s">
        <v>10778</v>
      </c>
      <c r="H1573" s="435" t="s">
        <v>10779</v>
      </c>
    </row>
    <row r="1574" spans="4:8">
      <c r="D1574" s="437" t="s">
        <v>5029</v>
      </c>
      <c r="E1574" s="435"/>
      <c r="G1574" s="437" t="s">
        <v>10780</v>
      </c>
      <c r="H1574" s="435"/>
    </row>
    <row r="1575" spans="4:8">
      <c r="D1575" s="434" t="s">
        <v>5030</v>
      </c>
      <c r="E1575" s="435" t="s">
        <v>5031</v>
      </c>
      <c r="G1575" s="437" t="s">
        <v>10781</v>
      </c>
      <c r="H1575" s="435"/>
    </row>
    <row r="1576" spans="4:8">
      <c r="D1576" s="437" t="s">
        <v>5032</v>
      </c>
      <c r="E1576" s="435"/>
      <c r="G1576" s="437" t="s">
        <v>10782</v>
      </c>
      <c r="H1576" s="435"/>
    </row>
    <row r="1577" spans="4:8">
      <c r="D1577" s="437" t="s">
        <v>5033</v>
      </c>
      <c r="E1577" s="435"/>
      <c r="G1577" s="437" t="s">
        <v>10783</v>
      </c>
      <c r="H1577" s="435"/>
    </row>
    <row r="1578" spans="4:8">
      <c r="D1578" s="434" t="s">
        <v>5034</v>
      </c>
      <c r="E1578" s="435" t="s">
        <v>5035</v>
      </c>
      <c r="G1578" s="437" t="s">
        <v>10784</v>
      </c>
      <c r="H1578" s="435"/>
    </row>
    <row r="1579" spans="4:8">
      <c r="D1579" s="437" t="s">
        <v>5036</v>
      </c>
      <c r="E1579" s="435"/>
      <c r="G1579" s="437" t="s">
        <v>10785</v>
      </c>
      <c r="H1579" s="435"/>
    </row>
    <row r="1580" spans="4:8">
      <c r="D1580" s="437" t="s">
        <v>5037</v>
      </c>
      <c r="E1580" s="435"/>
      <c r="G1580" s="437" t="s">
        <v>10786</v>
      </c>
      <c r="H1580" s="435"/>
    </row>
    <row r="1581" spans="4:8">
      <c r="D1581" s="437" t="s">
        <v>5038</v>
      </c>
      <c r="E1581" s="435"/>
      <c r="G1581" s="437" t="s">
        <v>10787</v>
      </c>
      <c r="H1581" s="435"/>
    </row>
    <row r="1582" spans="4:8">
      <c r="D1582" s="437" t="s">
        <v>5039</v>
      </c>
      <c r="E1582" s="435"/>
      <c r="G1582" s="437" t="s">
        <v>10788</v>
      </c>
      <c r="H1582" s="435"/>
    </row>
    <row r="1583" spans="4:8">
      <c r="D1583" s="437" t="s">
        <v>5040</v>
      </c>
      <c r="E1583" s="435"/>
      <c r="G1583" s="437" t="s">
        <v>10789</v>
      </c>
      <c r="H1583" s="435"/>
    </row>
    <row r="1584" spans="4:8">
      <c r="D1584" s="437" t="s">
        <v>5041</v>
      </c>
      <c r="E1584" s="435"/>
      <c r="G1584" s="437" t="s">
        <v>10790</v>
      </c>
      <c r="H1584" s="435"/>
    </row>
    <row r="1585" spans="4:8">
      <c r="D1585" s="437" t="s">
        <v>5042</v>
      </c>
      <c r="E1585" s="435"/>
      <c r="G1585" s="437" t="s">
        <v>10791</v>
      </c>
      <c r="H1585" s="435"/>
    </row>
    <row r="1586" spans="4:8">
      <c r="D1586" s="437" t="s">
        <v>5043</v>
      </c>
      <c r="E1586" s="435"/>
      <c r="G1586" s="437" t="s">
        <v>10792</v>
      </c>
      <c r="H1586" s="435"/>
    </row>
    <row r="1587" spans="4:8">
      <c r="D1587" s="434" t="s">
        <v>5044</v>
      </c>
      <c r="E1587" s="435" t="s">
        <v>5045</v>
      </c>
      <c r="G1587" s="437" t="s">
        <v>10793</v>
      </c>
      <c r="H1587" s="435"/>
    </row>
    <row r="1588" spans="4:8">
      <c r="D1588" s="437" t="s">
        <v>5046</v>
      </c>
      <c r="E1588" s="435"/>
      <c r="G1588" s="437" t="s">
        <v>10794</v>
      </c>
      <c r="H1588" s="435"/>
    </row>
    <row r="1589" spans="4:8">
      <c r="D1589" s="437" t="s">
        <v>5047</v>
      </c>
      <c r="E1589" s="435"/>
      <c r="G1589" s="434" t="s">
        <v>10795</v>
      </c>
      <c r="H1589" s="435" t="s">
        <v>10796</v>
      </c>
    </row>
    <row r="1590" spans="4:8">
      <c r="D1590" s="437" t="s">
        <v>5048</v>
      </c>
      <c r="E1590" s="435"/>
      <c r="G1590" s="434" t="s">
        <v>10797</v>
      </c>
      <c r="H1590" s="435" t="s">
        <v>10796</v>
      </c>
    </row>
    <row r="1591" spans="4:8">
      <c r="D1591" s="437" t="s">
        <v>5049</v>
      </c>
      <c r="E1591" s="435"/>
      <c r="G1591" s="437" t="s">
        <v>10798</v>
      </c>
      <c r="H1591" s="435"/>
    </row>
    <row r="1592" spans="4:8">
      <c r="D1592" s="437" t="s">
        <v>5050</v>
      </c>
      <c r="E1592" s="435"/>
      <c r="G1592" s="437" t="s">
        <v>10799</v>
      </c>
      <c r="H1592" s="435"/>
    </row>
    <row r="1593" spans="4:8">
      <c r="D1593" s="437" t="s">
        <v>5051</v>
      </c>
      <c r="E1593" s="435"/>
      <c r="G1593" s="437" t="s">
        <v>10800</v>
      </c>
      <c r="H1593" s="435"/>
    </row>
    <row r="1594" spans="4:8">
      <c r="D1594" s="437" t="s">
        <v>5052</v>
      </c>
      <c r="E1594" s="435"/>
      <c r="G1594" s="437" t="s">
        <v>10801</v>
      </c>
      <c r="H1594" s="435"/>
    </row>
    <row r="1595" spans="4:8">
      <c r="D1595" s="437" t="s">
        <v>5053</v>
      </c>
      <c r="E1595" s="435"/>
      <c r="G1595" s="437" t="s">
        <v>10802</v>
      </c>
      <c r="H1595" s="435"/>
    </row>
    <row r="1596" spans="4:8">
      <c r="D1596" s="437" t="s">
        <v>5054</v>
      </c>
      <c r="E1596" s="435"/>
      <c r="G1596" s="437" t="s">
        <v>10803</v>
      </c>
      <c r="H1596" s="435"/>
    </row>
    <row r="1597" spans="4:8">
      <c r="D1597" s="437" t="s">
        <v>5055</v>
      </c>
      <c r="E1597" s="435"/>
      <c r="G1597" s="434" t="s">
        <v>10804</v>
      </c>
      <c r="H1597" s="435" t="s">
        <v>10805</v>
      </c>
    </row>
    <row r="1598" spans="4:8">
      <c r="D1598" s="434" t="s">
        <v>5056</v>
      </c>
      <c r="E1598" s="435" t="s">
        <v>5057</v>
      </c>
      <c r="G1598" s="437" t="s">
        <v>10806</v>
      </c>
      <c r="H1598" s="435"/>
    </row>
    <row r="1599" spans="4:8">
      <c r="D1599" s="437" t="s">
        <v>5058</v>
      </c>
      <c r="E1599" s="435"/>
      <c r="G1599" s="437" t="s">
        <v>10807</v>
      </c>
      <c r="H1599" s="435"/>
    </row>
    <row r="1600" spans="4:8">
      <c r="D1600" s="434" t="s">
        <v>643</v>
      </c>
      <c r="E1600" s="435" t="s">
        <v>5059</v>
      </c>
      <c r="G1600" s="437" t="s">
        <v>10808</v>
      </c>
      <c r="H1600" s="435"/>
    </row>
    <row r="1601" spans="4:8">
      <c r="D1601" s="434" t="s">
        <v>5060</v>
      </c>
      <c r="E1601" s="435" t="s">
        <v>5059</v>
      </c>
      <c r="G1601" s="437" t="s">
        <v>10809</v>
      </c>
      <c r="H1601" s="435"/>
    </row>
    <row r="1602" spans="4:8">
      <c r="D1602" s="437" t="s">
        <v>5061</v>
      </c>
      <c r="E1602" s="435"/>
      <c r="G1602" s="437" t="s">
        <v>10810</v>
      </c>
      <c r="H1602" s="435"/>
    </row>
    <row r="1603" spans="4:8">
      <c r="D1603" s="437" t="s">
        <v>5062</v>
      </c>
      <c r="E1603" s="435"/>
      <c r="G1603" s="437" t="s">
        <v>10811</v>
      </c>
      <c r="H1603" s="435"/>
    </row>
    <row r="1604" spans="4:8">
      <c r="D1604" s="437" t="s">
        <v>5063</v>
      </c>
      <c r="E1604" s="435"/>
      <c r="G1604" s="437" t="s">
        <v>10812</v>
      </c>
      <c r="H1604" s="435"/>
    </row>
    <row r="1605" spans="4:8">
      <c r="D1605" s="437" t="s">
        <v>5064</v>
      </c>
      <c r="E1605" s="435"/>
      <c r="G1605" s="437" t="s">
        <v>10813</v>
      </c>
      <c r="H1605" s="435"/>
    </row>
    <row r="1606" spans="4:8">
      <c r="D1606" s="437" t="s">
        <v>5065</v>
      </c>
      <c r="E1606" s="435"/>
      <c r="G1606" s="437" t="s">
        <v>10814</v>
      </c>
      <c r="H1606" s="435"/>
    </row>
    <row r="1607" spans="4:8">
      <c r="D1607" s="437" t="s">
        <v>5066</v>
      </c>
      <c r="E1607" s="435"/>
      <c r="G1607" s="437" t="s">
        <v>10815</v>
      </c>
      <c r="H1607" s="435"/>
    </row>
    <row r="1608" spans="4:8">
      <c r="D1608" s="437" t="s">
        <v>5067</v>
      </c>
      <c r="E1608" s="435"/>
      <c r="G1608" s="437" t="s">
        <v>10816</v>
      </c>
      <c r="H1608" s="435"/>
    </row>
    <row r="1609" spans="4:8">
      <c r="D1609" s="437" t="s">
        <v>5068</v>
      </c>
      <c r="E1609" s="435"/>
      <c r="G1609" s="437" t="s">
        <v>10817</v>
      </c>
      <c r="H1609" s="435"/>
    </row>
    <row r="1610" spans="4:8">
      <c r="D1610" s="437" t="s">
        <v>5069</v>
      </c>
      <c r="E1610" s="435"/>
      <c r="G1610" s="437" t="s">
        <v>10818</v>
      </c>
      <c r="H1610" s="435"/>
    </row>
    <row r="1611" spans="4:8">
      <c r="D1611" s="437" t="s">
        <v>5070</v>
      </c>
      <c r="E1611" s="435"/>
      <c r="G1611" s="437" t="s">
        <v>10819</v>
      </c>
      <c r="H1611" s="435"/>
    </row>
    <row r="1612" spans="4:8">
      <c r="D1612" s="437" t="s">
        <v>5071</v>
      </c>
      <c r="E1612" s="435"/>
      <c r="G1612" s="437" t="s">
        <v>10820</v>
      </c>
      <c r="H1612" s="435"/>
    </row>
    <row r="1613" spans="4:8">
      <c r="D1613" s="437" t="s">
        <v>5072</v>
      </c>
      <c r="E1613" s="435"/>
      <c r="G1613" s="434" t="s">
        <v>10821</v>
      </c>
      <c r="H1613" s="435" t="s">
        <v>10822</v>
      </c>
    </row>
    <row r="1614" spans="4:8">
      <c r="D1614" s="437" t="s">
        <v>5073</v>
      </c>
      <c r="E1614" s="435"/>
      <c r="G1614" s="437" t="s">
        <v>10823</v>
      </c>
      <c r="H1614" s="435"/>
    </row>
    <row r="1615" spans="4:8">
      <c r="D1615" s="437" t="s">
        <v>5074</v>
      </c>
      <c r="E1615" s="435"/>
      <c r="G1615" s="437" t="s">
        <v>10824</v>
      </c>
      <c r="H1615" s="435"/>
    </row>
    <row r="1616" spans="4:8">
      <c r="D1616" s="437" t="s">
        <v>5075</v>
      </c>
      <c r="E1616" s="435"/>
      <c r="G1616" s="437" t="s">
        <v>10825</v>
      </c>
      <c r="H1616" s="435"/>
    </row>
    <row r="1617" spans="4:8">
      <c r="D1617" s="437" t="s">
        <v>5076</v>
      </c>
      <c r="E1617" s="435"/>
      <c r="G1617" s="437" t="s">
        <v>10826</v>
      </c>
      <c r="H1617" s="435"/>
    </row>
    <row r="1618" spans="4:8">
      <c r="D1618" s="437" t="s">
        <v>5077</v>
      </c>
      <c r="E1618" s="435"/>
      <c r="G1618" s="437" t="s">
        <v>10827</v>
      </c>
      <c r="H1618" s="435"/>
    </row>
    <row r="1619" spans="4:8">
      <c r="D1619" s="437" t="s">
        <v>5078</v>
      </c>
      <c r="E1619" s="435"/>
      <c r="G1619" s="437" t="s">
        <v>10828</v>
      </c>
      <c r="H1619" s="435"/>
    </row>
    <row r="1620" spans="4:8">
      <c r="D1620" s="437" t="s">
        <v>5079</v>
      </c>
      <c r="E1620" s="435"/>
      <c r="G1620" s="437" t="s">
        <v>10829</v>
      </c>
      <c r="H1620" s="435"/>
    </row>
    <row r="1621" spans="4:8">
      <c r="D1621" s="434" t="s">
        <v>5080</v>
      </c>
      <c r="E1621" s="435" t="s">
        <v>5081</v>
      </c>
      <c r="G1621" s="437" t="s">
        <v>10830</v>
      </c>
      <c r="H1621" s="435"/>
    </row>
    <row r="1622" spans="4:8">
      <c r="D1622" s="434" t="s">
        <v>5082</v>
      </c>
      <c r="E1622" s="435" t="s">
        <v>5083</v>
      </c>
      <c r="G1622" s="437" t="s">
        <v>10831</v>
      </c>
      <c r="H1622" s="435"/>
    </row>
    <row r="1623" spans="4:8">
      <c r="D1623" s="437" t="s">
        <v>5084</v>
      </c>
      <c r="E1623" s="435"/>
      <c r="G1623" s="437" t="s">
        <v>10832</v>
      </c>
      <c r="H1623" s="435"/>
    </row>
    <row r="1624" spans="4:8">
      <c r="D1624" s="437" t="s">
        <v>5085</v>
      </c>
      <c r="E1624" s="435"/>
      <c r="G1624" s="437" t="s">
        <v>10833</v>
      </c>
      <c r="H1624" s="435"/>
    </row>
    <row r="1625" spans="4:8">
      <c r="D1625" s="437" t="s">
        <v>5086</v>
      </c>
      <c r="E1625" s="435"/>
      <c r="G1625" s="437" t="s">
        <v>10834</v>
      </c>
      <c r="H1625" s="435"/>
    </row>
    <row r="1626" spans="4:8">
      <c r="D1626" s="437" t="s">
        <v>5087</v>
      </c>
      <c r="E1626" s="435"/>
      <c r="G1626" s="437" t="s">
        <v>10835</v>
      </c>
      <c r="H1626" s="435"/>
    </row>
    <row r="1627" spans="4:8">
      <c r="D1627" s="437" t="s">
        <v>5088</v>
      </c>
      <c r="E1627" s="435"/>
      <c r="G1627" s="437" t="s">
        <v>10836</v>
      </c>
      <c r="H1627" s="435"/>
    </row>
    <row r="1628" spans="4:8">
      <c r="D1628" s="437" t="s">
        <v>5089</v>
      </c>
      <c r="E1628" s="435"/>
      <c r="G1628" s="437" t="s">
        <v>10837</v>
      </c>
      <c r="H1628" s="435"/>
    </row>
    <row r="1629" spans="4:8">
      <c r="D1629" s="434" t="s">
        <v>5090</v>
      </c>
      <c r="E1629" s="435" t="s">
        <v>5091</v>
      </c>
      <c r="G1629" s="434" t="s">
        <v>10838</v>
      </c>
      <c r="H1629" s="435" t="s">
        <v>10839</v>
      </c>
    </row>
    <row r="1630" spans="4:8">
      <c r="D1630" s="437" t="s">
        <v>5092</v>
      </c>
      <c r="E1630" s="435"/>
      <c r="G1630" s="437" t="s">
        <v>10840</v>
      </c>
      <c r="H1630" s="435"/>
    </row>
    <row r="1631" spans="4:8">
      <c r="D1631" s="434" t="s">
        <v>5093</v>
      </c>
      <c r="E1631" s="435"/>
      <c r="G1631" s="437" t="s">
        <v>10841</v>
      </c>
      <c r="H1631" s="435"/>
    </row>
    <row r="1632" spans="4:8">
      <c r="D1632" s="434" t="s">
        <v>5094</v>
      </c>
      <c r="E1632" s="435" t="s">
        <v>5095</v>
      </c>
      <c r="G1632" s="437" t="s">
        <v>10842</v>
      </c>
      <c r="H1632" s="435"/>
    </row>
    <row r="1633" spans="4:8">
      <c r="D1633" s="437" t="s">
        <v>5096</v>
      </c>
      <c r="E1633" s="435"/>
      <c r="G1633" s="437" t="s">
        <v>10843</v>
      </c>
      <c r="H1633" s="435"/>
    </row>
    <row r="1634" spans="4:8">
      <c r="D1634" s="437" t="s">
        <v>5097</v>
      </c>
      <c r="E1634" s="435"/>
      <c r="G1634" s="437" t="s">
        <v>10844</v>
      </c>
      <c r="H1634" s="435"/>
    </row>
    <row r="1635" spans="4:8">
      <c r="D1635" s="437" t="s">
        <v>5098</v>
      </c>
      <c r="E1635" s="435"/>
      <c r="G1635" s="437" t="s">
        <v>10845</v>
      </c>
      <c r="H1635" s="435"/>
    </row>
    <row r="1636" spans="4:8">
      <c r="D1636" s="437" t="s">
        <v>5099</v>
      </c>
      <c r="E1636" s="435"/>
      <c r="G1636" s="434" t="s">
        <v>10846</v>
      </c>
      <c r="H1636" s="435" t="s">
        <v>10847</v>
      </c>
    </row>
    <row r="1637" spans="4:8">
      <c r="D1637" s="437" t="s">
        <v>5100</v>
      </c>
      <c r="E1637" s="435"/>
      <c r="G1637" s="437" t="s">
        <v>10848</v>
      </c>
      <c r="H1637" s="435"/>
    </row>
    <row r="1638" spans="4:8">
      <c r="D1638" s="434" t="s">
        <v>5101</v>
      </c>
      <c r="E1638" s="435"/>
      <c r="G1638" s="437" t="s">
        <v>10849</v>
      </c>
      <c r="H1638" s="435"/>
    </row>
    <row r="1639" spans="4:8">
      <c r="D1639" s="437" t="s">
        <v>5102</v>
      </c>
      <c r="E1639" s="435"/>
      <c r="G1639" s="437" t="s">
        <v>10850</v>
      </c>
      <c r="H1639" s="435"/>
    </row>
    <row r="1640" spans="4:8">
      <c r="D1640" s="437" t="s">
        <v>5103</v>
      </c>
      <c r="E1640" s="435"/>
      <c r="G1640" s="437" t="s">
        <v>10851</v>
      </c>
      <c r="H1640" s="435"/>
    </row>
    <row r="1641" spans="4:8">
      <c r="D1641" s="437" t="s">
        <v>5104</v>
      </c>
      <c r="E1641" s="435"/>
      <c r="G1641" s="437" t="s">
        <v>10852</v>
      </c>
      <c r="H1641" s="435"/>
    </row>
    <row r="1642" spans="4:8">
      <c r="D1642" s="434" t="s">
        <v>5105</v>
      </c>
      <c r="E1642" s="435" t="s">
        <v>5106</v>
      </c>
      <c r="G1642" s="437" t="s">
        <v>10853</v>
      </c>
      <c r="H1642" s="435"/>
    </row>
    <row r="1643" spans="4:8">
      <c r="D1643" s="437" t="s">
        <v>5107</v>
      </c>
      <c r="E1643" s="435"/>
      <c r="G1643" s="437" t="s">
        <v>10854</v>
      </c>
      <c r="H1643" s="435"/>
    </row>
    <row r="1644" spans="4:8">
      <c r="D1644" s="437" t="s">
        <v>5108</v>
      </c>
      <c r="E1644" s="435"/>
      <c r="G1644" s="437" t="s">
        <v>10855</v>
      </c>
      <c r="H1644" s="435"/>
    </row>
    <row r="1645" spans="4:8">
      <c r="D1645" s="434" t="s">
        <v>5109</v>
      </c>
      <c r="E1645" s="435" t="s">
        <v>5110</v>
      </c>
      <c r="G1645" s="437" t="s">
        <v>10856</v>
      </c>
      <c r="H1645" s="435"/>
    </row>
    <row r="1646" spans="4:8">
      <c r="D1646" s="434" t="s">
        <v>5111</v>
      </c>
      <c r="E1646" s="435" t="s">
        <v>5110</v>
      </c>
      <c r="G1646" s="437" t="s">
        <v>10857</v>
      </c>
      <c r="H1646" s="435"/>
    </row>
    <row r="1647" spans="4:8">
      <c r="D1647" s="437" t="s">
        <v>5112</v>
      </c>
      <c r="E1647" s="435"/>
      <c r="G1647" s="434" t="s">
        <v>10858</v>
      </c>
      <c r="H1647" s="435" t="s">
        <v>10859</v>
      </c>
    </row>
    <row r="1648" spans="4:8">
      <c r="D1648" s="437" t="s">
        <v>5113</v>
      </c>
      <c r="E1648" s="435"/>
      <c r="G1648" s="437" t="s">
        <v>10860</v>
      </c>
      <c r="H1648" s="435"/>
    </row>
    <row r="1649" spans="4:8">
      <c r="D1649" s="437" t="s">
        <v>5114</v>
      </c>
      <c r="E1649" s="435"/>
      <c r="G1649" s="437" t="s">
        <v>10861</v>
      </c>
      <c r="H1649" s="435"/>
    </row>
    <row r="1650" spans="4:8">
      <c r="D1650" s="437" t="s">
        <v>5115</v>
      </c>
      <c r="E1650" s="435"/>
      <c r="G1650" s="437" t="s">
        <v>10862</v>
      </c>
      <c r="H1650" s="435"/>
    </row>
    <row r="1651" spans="4:8">
      <c r="D1651" s="437" t="s">
        <v>5116</v>
      </c>
      <c r="E1651" s="435"/>
      <c r="G1651" s="437" t="s">
        <v>10863</v>
      </c>
      <c r="H1651" s="435"/>
    </row>
    <row r="1652" spans="4:8">
      <c r="D1652" s="437" t="s">
        <v>5117</v>
      </c>
      <c r="E1652" s="435"/>
      <c r="G1652" s="437" t="s">
        <v>10864</v>
      </c>
      <c r="H1652" s="435"/>
    </row>
    <row r="1653" spans="4:8">
      <c r="D1653" s="437" t="s">
        <v>5118</v>
      </c>
      <c r="E1653" s="435"/>
      <c r="G1653" s="434" t="s">
        <v>10865</v>
      </c>
      <c r="H1653" s="435" t="s">
        <v>10866</v>
      </c>
    </row>
    <row r="1654" spans="4:8">
      <c r="D1654" s="437" t="s">
        <v>5119</v>
      </c>
      <c r="E1654" s="435"/>
      <c r="G1654" s="434" t="s">
        <v>10867</v>
      </c>
      <c r="H1654" s="435" t="s">
        <v>10868</v>
      </c>
    </row>
    <row r="1655" spans="4:8">
      <c r="D1655" s="437" t="s">
        <v>5120</v>
      </c>
      <c r="E1655" s="435"/>
      <c r="G1655" s="437" t="s">
        <v>10869</v>
      </c>
      <c r="H1655" s="435"/>
    </row>
    <row r="1656" spans="4:8">
      <c r="D1656" s="434" t="s">
        <v>5121</v>
      </c>
      <c r="E1656" s="435" t="s">
        <v>5122</v>
      </c>
      <c r="G1656" s="437" t="s">
        <v>10870</v>
      </c>
      <c r="H1656" s="435"/>
    </row>
    <row r="1657" spans="4:8">
      <c r="D1657" s="437" t="s">
        <v>5123</v>
      </c>
      <c r="E1657" s="435"/>
      <c r="G1657" s="437" t="s">
        <v>10871</v>
      </c>
      <c r="H1657" s="435"/>
    </row>
    <row r="1658" spans="4:8">
      <c r="D1658" s="437" t="s">
        <v>5124</v>
      </c>
      <c r="E1658" s="435"/>
      <c r="G1658" s="437" t="s">
        <v>10872</v>
      </c>
      <c r="H1658" s="435"/>
    </row>
    <row r="1659" spans="4:8">
      <c r="D1659" s="437" t="s">
        <v>5125</v>
      </c>
      <c r="E1659" s="435"/>
      <c r="G1659" s="437" t="s">
        <v>10873</v>
      </c>
      <c r="H1659" s="435"/>
    </row>
    <row r="1660" spans="4:8">
      <c r="D1660" s="437" t="s">
        <v>5126</v>
      </c>
      <c r="E1660" s="435"/>
      <c r="G1660" s="437" t="s">
        <v>10874</v>
      </c>
      <c r="H1660" s="435"/>
    </row>
    <row r="1661" spans="4:8">
      <c r="D1661" s="434" t="s">
        <v>5127</v>
      </c>
      <c r="E1661" s="435"/>
      <c r="G1661" s="437" t="s">
        <v>10875</v>
      </c>
      <c r="H1661" s="435"/>
    </row>
    <row r="1662" spans="4:8">
      <c r="D1662" s="434" t="s">
        <v>5128</v>
      </c>
      <c r="E1662" s="435" t="s">
        <v>5129</v>
      </c>
      <c r="G1662" s="437" t="s">
        <v>10876</v>
      </c>
      <c r="H1662" s="435"/>
    </row>
    <row r="1663" spans="4:8">
      <c r="D1663" s="434" t="s">
        <v>5130</v>
      </c>
      <c r="E1663" s="435" t="s">
        <v>5131</v>
      </c>
      <c r="G1663" s="434" t="s">
        <v>10877</v>
      </c>
      <c r="H1663" s="435" t="s">
        <v>10878</v>
      </c>
    </row>
    <row r="1664" spans="4:8">
      <c r="D1664" s="434" t="s">
        <v>5132</v>
      </c>
      <c r="E1664" s="435" t="s">
        <v>5133</v>
      </c>
      <c r="G1664" s="434" t="s">
        <v>10879</v>
      </c>
      <c r="H1664" s="435" t="s">
        <v>10878</v>
      </c>
    </row>
    <row r="1665" spans="4:8">
      <c r="D1665" s="437" t="s">
        <v>5134</v>
      </c>
      <c r="E1665" s="435"/>
      <c r="G1665" s="437" t="s">
        <v>10880</v>
      </c>
      <c r="H1665" s="435"/>
    </row>
    <row r="1666" spans="4:8">
      <c r="D1666" s="437" t="s">
        <v>5135</v>
      </c>
      <c r="E1666" s="435"/>
      <c r="G1666" s="437" t="s">
        <v>10881</v>
      </c>
      <c r="H1666" s="435"/>
    </row>
    <row r="1667" spans="4:8">
      <c r="D1667" s="434" t="s">
        <v>5136</v>
      </c>
      <c r="E1667" s="435" t="s">
        <v>5137</v>
      </c>
      <c r="G1667" s="437" t="s">
        <v>10882</v>
      </c>
      <c r="H1667" s="435"/>
    </row>
    <row r="1668" spans="4:8">
      <c r="D1668" s="437" t="s">
        <v>5138</v>
      </c>
      <c r="E1668" s="435"/>
      <c r="G1668" s="437" t="s">
        <v>10883</v>
      </c>
      <c r="H1668" s="435"/>
    </row>
    <row r="1669" spans="4:8">
      <c r="D1669" s="434" t="s">
        <v>5139</v>
      </c>
      <c r="E1669" s="435" t="s">
        <v>5137</v>
      </c>
      <c r="G1669" s="437" t="s">
        <v>10884</v>
      </c>
      <c r="H1669" s="435"/>
    </row>
    <row r="1670" spans="4:8">
      <c r="D1670" s="437" t="s">
        <v>5140</v>
      </c>
      <c r="E1670" s="435"/>
      <c r="G1670" s="437" t="s">
        <v>10885</v>
      </c>
      <c r="H1670" s="435"/>
    </row>
    <row r="1671" spans="4:8">
      <c r="D1671" s="437" t="s">
        <v>5141</v>
      </c>
      <c r="E1671" s="435"/>
      <c r="G1671" s="437" t="s">
        <v>10886</v>
      </c>
      <c r="H1671" s="435"/>
    </row>
    <row r="1672" spans="4:8">
      <c r="D1672" s="437" t="s">
        <v>5142</v>
      </c>
      <c r="E1672" s="435"/>
      <c r="G1672" s="437" t="s">
        <v>10887</v>
      </c>
      <c r="H1672" s="435"/>
    </row>
    <row r="1673" spans="4:8">
      <c r="D1673" s="434" t="s">
        <v>5143</v>
      </c>
      <c r="E1673" s="435" t="s">
        <v>5144</v>
      </c>
      <c r="G1673" s="437" t="s">
        <v>10888</v>
      </c>
      <c r="H1673" s="435"/>
    </row>
    <row r="1674" spans="4:8">
      <c r="D1674" s="437" t="s">
        <v>5145</v>
      </c>
      <c r="E1674" s="435"/>
      <c r="G1674" s="437" t="s">
        <v>10889</v>
      </c>
      <c r="H1674" s="435"/>
    </row>
    <row r="1675" spans="4:8">
      <c r="D1675" s="437" t="s">
        <v>5146</v>
      </c>
      <c r="E1675" s="435"/>
      <c r="G1675" s="434" t="s">
        <v>10890</v>
      </c>
      <c r="H1675" s="435" t="s">
        <v>10891</v>
      </c>
    </row>
    <row r="1676" spans="4:8">
      <c r="D1676" s="434" t="s">
        <v>5147</v>
      </c>
      <c r="E1676" s="435" t="s">
        <v>5148</v>
      </c>
      <c r="G1676" s="437" t="s">
        <v>10892</v>
      </c>
      <c r="H1676" s="435"/>
    </row>
    <row r="1677" spans="4:8">
      <c r="D1677" s="434" t="s">
        <v>5149</v>
      </c>
      <c r="E1677" s="435" t="s">
        <v>5148</v>
      </c>
      <c r="G1677" s="437" t="s">
        <v>10893</v>
      </c>
      <c r="H1677" s="435"/>
    </row>
    <row r="1678" spans="4:8">
      <c r="D1678" s="437" t="s">
        <v>5150</v>
      </c>
      <c r="E1678" s="435"/>
      <c r="G1678" s="437" t="s">
        <v>10894</v>
      </c>
      <c r="H1678" s="435"/>
    </row>
    <row r="1679" spans="4:8">
      <c r="D1679" s="437" t="s">
        <v>5151</v>
      </c>
      <c r="E1679" s="435"/>
      <c r="G1679" s="437" t="s">
        <v>10895</v>
      </c>
      <c r="H1679" s="435"/>
    </row>
    <row r="1680" spans="4:8">
      <c r="D1680" s="437" t="s">
        <v>5152</v>
      </c>
      <c r="E1680" s="435"/>
      <c r="G1680" s="437" t="s">
        <v>10896</v>
      </c>
      <c r="H1680" s="435"/>
    </row>
    <row r="1681" spans="4:8">
      <c r="D1681" s="434" t="s">
        <v>5153</v>
      </c>
      <c r="E1681" s="435" t="s">
        <v>5154</v>
      </c>
      <c r="G1681" s="437" t="s">
        <v>10897</v>
      </c>
      <c r="H1681" s="435"/>
    </row>
    <row r="1682" spans="4:8">
      <c r="D1682" s="434" t="s">
        <v>5155</v>
      </c>
      <c r="E1682" s="435" t="s">
        <v>5154</v>
      </c>
      <c r="G1682" s="434" t="s">
        <v>8171</v>
      </c>
      <c r="H1682" s="435" t="s">
        <v>8172</v>
      </c>
    </row>
    <row r="1683" spans="4:8">
      <c r="D1683" s="437" t="s">
        <v>5156</v>
      </c>
      <c r="E1683" s="435"/>
      <c r="G1683" s="434" t="s">
        <v>621</v>
      </c>
      <c r="H1683" s="435" t="s">
        <v>8225</v>
      </c>
    </row>
    <row r="1684" spans="4:8">
      <c r="D1684" s="434" t="s">
        <v>5157</v>
      </c>
      <c r="E1684" s="435" t="s">
        <v>5158</v>
      </c>
      <c r="G1684" s="437" t="s">
        <v>8226</v>
      </c>
      <c r="H1684" s="435"/>
    </row>
    <row r="1685" spans="4:8">
      <c r="D1685" s="434" t="s">
        <v>5159</v>
      </c>
      <c r="E1685" s="435" t="s">
        <v>5158</v>
      </c>
      <c r="G1685" s="437" t="s">
        <v>8227</v>
      </c>
      <c r="H1685" s="435"/>
    </row>
    <row r="1686" spans="4:8">
      <c r="D1686" s="437" t="s">
        <v>5160</v>
      </c>
      <c r="E1686" s="435"/>
      <c r="G1686" s="437" t="s">
        <v>8228</v>
      </c>
      <c r="H1686" s="435"/>
    </row>
    <row r="1687" spans="4:8">
      <c r="D1687" s="434" t="s">
        <v>5161</v>
      </c>
      <c r="E1687" s="435" t="s">
        <v>5162</v>
      </c>
      <c r="G1687" s="437" t="s">
        <v>8229</v>
      </c>
      <c r="H1687" s="435"/>
    </row>
    <row r="1688" spans="4:8">
      <c r="D1688" s="434" t="s">
        <v>5163</v>
      </c>
      <c r="E1688" s="435" t="s">
        <v>5162</v>
      </c>
      <c r="G1688" s="434" t="s">
        <v>10898</v>
      </c>
      <c r="H1688" s="435" t="s">
        <v>10899</v>
      </c>
    </row>
    <row r="1689" spans="4:8">
      <c r="D1689" s="434" t="s">
        <v>5164</v>
      </c>
      <c r="E1689" s="435" t="s">
        <v>5165</v>
      </c>
      <c r="G1689" s="437" t="s">
        <v>10900</v>
      </c>
      <c r="H1689" s="435"/>
    </row>
    <row r="1690" spans="4:8">
      <c r="D1690" s="437" t="s">
        <v>5166</v>
      </c>
      <c r="E1690" s="435"/>
      <c r="G1690" s="437" t="s">
        <v>10901</v>
      </c>
      <c r="H1690" s="435"/>
    </row>
    <row r="1691" spans="4:8">
      <c r="D1691" s="434" t="s">
        <v>5167</v>
      </c>
      <c r="E1691" s="435" t="s">
        <v>5168</v>
      </c>
      <c r="G1691" s="434" t="s">
        <v>8238</v>
      </c>
      <c r="H1691" s="435" t="s">
        <v>8239</v>
      </c>
    </row>
    <row r="1692" spans="4:8">
      <c r="D1692" s="434" t="s">
        <v>5169</v>
      </c>
      <c r="E1692" s="435" t="s">
        <v>5168</v>
      </c>
      <c r="G1692" s="437" t="s">
        <v>8240</v>
      </c>
      <c r="H1692" s="435"/>
    </row>
    <row r="1693" spans="4:8">
      <c r="D1693" s="437" t="s">
        <v>5170</v>
      </c>
      <c r="E1693" s="435"/>
      <c r="G1693" s="434" t="s">
        <v>8243</v>
      </c>
      <c r="H1693" s="435" t="s">
        <v>8244</v>
      </c>
    </row>
    <row r="1694" spans="4:8">
      <c r="D1694" s="437" t="s">
        <v>5171</v>
      </c>
      <c r="E1694" s="435"/>
      <c r="G1694" s="437" t="s">
        <v>8245</v>
      </c>
      <c r="H1694" s="435"/>
    </row>
    <row r="1695" spans="4:8">
      <c r="D1695" s="437" t="s">
        <v>5172</v>
      </c>
      <c r="E1695" s="435"/>
      <c r="G1695" s="437" t="s">
        <v>8246</v>
      </c>
      <c r="H1695" s="435"/>
    </row>
    <row r="1696" spans="4:8">
      <c r="D1696" s="437" t="s">
        <v>5173</v>
      </c>
      <c r="E1696" s="435"/>
      <c r="G1696" s="437" t="s">
        <v>8247</v>
      </c>
      <c r="H1696" s="435"/>
    </row>
    <row r="1697" spans="4:8">
      <c r="D1697" s="437" t="s">
        <v>5174</v>
      </c>
      <c r="E1697" s="435"/>
      <c r="G1697" s="434" t="s">
        <v>10902</v>
      </c>
      <c r="H1697" s="435" t="s">
        <v>10903</v>
      </c>
    </row>
    <row r="1698" spans="4:8">
      <c r="D1698" s="437" t="s">
        <v>5175</v>
      </c>
      <c r="E1698" s="435"/>
      <c r="G1698" s="437" t="s">
        <v>10904</v>
      </c>
      <c r="H1698" s="435"/>
    </row>
    <row r="1699" spans="4:8">
      <c r="D1699" s="437" t="s">
        <v>5176</v>
      </c>
      <c r="E1699" s="435"/>
      <c r="G1699" s="437" t="s">
        <v>10905</v>
      </c>
      <c r="H1699" s="435"/>
    </row>
    <row r="1700" spans="4:8">
      <c r="D1700" s="437" t="s">
        <v>5177</v>
      </c>
      <c r="E1700" s="435"/>
      <c r="G1700" s="434" t="s">
        <v>10906</v>
      </c>
      <c r="H1700" s="435" t="s">
        <v>10907</v>
      </c>
    </row>
    <row r="1701" spans="4:8">
      <c r="D1701" s="434" t="s">
        <v>5178</v>
      </c>
      <c r="E1701" s="435" t="s">
        <v>5179</v>
      </c>
      <c r="G1701" s="437" t="s">
        <v>10908</v>
      </c>
      <c r="H1701" s="435"/>
    </row>
    <row r="1702" spans="4:8">
      <c r="D1702" s="434" t="s">
        <v>5180</v>
      </c>
      <c r="E1702" s="435" t="s">
        <v>5179</v>
      </c>
      <c r="G1702" s="437" t="s">
        <v>10909</v>
      </c>
      <c r="H1702" s="435"/>
    </row>
    <row r="1703" spans="4:8">
      <c r="D1703" s="437" t="s">
        <v>5181</v>
      </c>
      <c r="E1703" s="435"/>
      <c r="G1703" s="437" t="s">
        <v>10910</v>
      </c>
      <c r="H1703" s="435"/>
    </row>
    <row r="1704" spans="4:8">
      <c r="D1704" s="437" t="s">
        <v>5182</v>
      </c>
      <c r="E1704" s="435"/>
      <c r="G1704" s="437" t="s">
        <v>10911</v>
      </c>
      <c r="H1704" s="435"/>
    </row>
    <row r="1705" spans="4:8">
      <c r="D1705" s="434" t="s">
        <v>5183</v>
      </c>
      <c r="E1705" s="435" t="s">
        <v>5184</v>
      </c>
      <c r="G1705" s="434" t="s">
        <v>8312</v>
      </c>
      <c r="H1705" s="435" t="s">
        <v>8313</v>
      </c>
    </row>
    <row r="1706" spans="4:8">
      <c r="D1706" s="434" t="s">
        <v>5185</v>
      </c>
      <c r="E1706" s="435" t="s">
        <v>5186</v>
      </c>
      <c r="G1706" s="434" t="s">
        <v>8314</v>
      </c>
      <c r="H1706" s="435" t="s">
        <v>8313</v>
      </c>
    </row>
    <row r="1707" spans="4:8">
      <c r="D1707" s="434" t="s">
        <v>5187</v>
      </c>
      <c r="E1707" s="435" t="s">
        <v>5186</v>
      </c>
      <c r="G1707" s="434" t="s">
        <v>10912</v>
      </c>
      <c r="H1707" s="435" t="s">
        <v>10913</v>
      </c>
    </row>
    <row r="1708" spans="4:8">
      <c r="D1708" s="434" t="s">
        <v>5188</v>
      </c>
      <c r="E1708" s="435" t="s">
        <v>5189</v>
      </c>
      <c r="G1708" s="437" t="s">
        <v>10914</v>
      </c>
      <c r="H1708" s="435"/>
    </row>
    <row r="1709" spans="4:8">
      <c r="D1709" s="437" t="s">
        <v>5190</v>
      </c>
      <c r="E1709" s="435"/>
      <c r="G1709" s="437" t="s">
        <v>10915</v>
      </c>
      <c r="H1709" s="435"/>
    </row>
    <row r="1710" spans="4:8">
      <c r="D1710" s="437" t="s">
        <v>5191</v>
      </c>
      <c r="E1710" s="435"/>
      <c r="G1710" s="434" t="s">
        <v>8445</v>
      </c>
      <c r="H1710" s="435" t="s">
        <v>8446</v>
      </c>
    </row>
    <row r="1711" spans="4:8">
      <c r="D1711" s="434" t="s">
        <v>5192</v>
      </c>
      <c r="E1711" s="435" t="s">
        <v>5193</v>
      </c>
      <c r="G1711" s="434" t="s">
        <v>8447</v>
      </c>
      <c r="H1711" s="435" t="s">
        <v>8446</v>
      </c>
    </row>
    <row r="1712" spans="4:8">
      <c r="D1712" s="434" t="s">
        <v>5194</v>
      </c>
      <c r="E1712" s="435" t="s">
        <v>5195</v>
      </c>
      <c r="G1712" s="437" t="s">
        <v>8448</v>
      </c>
      <c r="H1712" s="435"/>
    </row>
    <row r="1713" spans="4:8">
      <c r="D1713" s="437" t="s">
        <v>5196</v>
      </c>
      <c r="E1713" s="435"/>
      <c r="G1713" s="437" t="s">
        <v>8449</v>
      </c>
      <c r="H1713" s="435"/>
    </row>
    <row r="1714" spans="4:8">
      <c r="D1714" s="437" t="s">
        <v>5197</v>
      </c>
      <c r="E1714" s="435"/>
      <c r="G1714" s="437" t="s">
        <v>8450</v>
      </c>
      <c r="H1714" s="435"/>
    </row>
    <row r="1715" spans="4:8">
      <c r="D1715" s="437" t="s">
        <v>5198</v>
      </c>
      <c r="E1715" s="435"/>
      <c r="G1715" s="434" t="s">
        <v>10916</v>
      </c>
      <c r="H1715" s="435" t="s">
        <v>10917</v>
      </c>
    </row>
    <row r="1716" spans="4:8">
      <c r="D1716" s="434" t="s">
        <v>5199</v>
      </c>
      <c r="E1716" s="435" t="s">
        <v>5193</v>
      </c>
      <c r="G1716" s="434" t="s">
        <v>10918</v>
      </c>
      <c r="H1716" s="435" t="s">
        <v>10917</v>
      </c>
    </row>
    <row r="1717" spans="4:8">
      <c r="D1717" s="437" t="s">
        <v>5200</v>
      </c>
      <c r="E1717" s="435"/>
      <c r="G1717" s="434" t="s">
        <v>10919</v>
      </c>
      <c r="H1717" s="435" t="s">
        <v>10920</v>
      </c>
    </row>
    <row r="1718" spans="4:8">
      <c r="D1718" s="437" t="s">
        <v>5201</v>
      </c>
      <c r="E1718" s="435"/>
      <c r="G1718" s="434" t="s">
        <v>8521</v>
      </c>
      <c r="H1718" s="435" t="s">
        <v>8522</v>
      </c>
    </row>
    <row r="1719" spans="4:8">
      <c r="D1719" s="437" t="s">
        <v>5202</v>
      </c>
      <c r="E1719" s="435"/>
      <c r="G1719" s="434" t="s">
        <v>8523</v>
      </c>
      <c r="H1719" s="435" t="s">
        <v>8524</v>
      </c>
    </row>
    <row r="1720" spans="4:8">
      <c r="D1720" s="434" t="s">
        <v>5203</v>
      </c>
      <c r="E1720" s="435" t="s">
        <v>5204</v>
      </c>
      <c r="G1720" s="437" t="s">
        <v>8525</v>
      </c>
      <c r="H1720" s="435"/>
    </row>
    <row r="1721" spans="4:8">
      <c r="D1721" s="437" t="s">
        <v>5205</v>
      </c>
      <c r="E1721" s="435"/>
      <c r="G1721" s="437" t="s">
        <v>8526</v>
      </c>
      <c r="H1721" s="435"/>
    </row>
    <row r="1722" spans="4:8">
      <c r="D1722" s="434" t="s">
        <v>5206</v>
      </c>
      <c r="E1722" s="435" t="s">
        <v>5207</v>
      </c>
      <c r="G1722" s="437" t="s">
        <v>8527</v>
      </c>
      <c r="H1722" s="435"/>
    </row>
    <row r="1723" spans="4:8">
      <c r="D1723" s="434" t="s">
        <v>5208</v>
      </c>
      <c r="E1723" s="435" t="s">
        <v>5207</v>
      </c>
      <c r="G1723" s="437" t="s">
        <v>8528</v>
      </c>
      <c r="H1723" s="435"/>
    </row>
    <row r="1724" spans="4:8">
      <c r="D1724" s="434" t="s">
        <v>5209</v>
      </c>
      <c r="E1724" s="435" t="s">
        <v>5210</v>
      </c>
      <c r="G1724" s="437" t="s">
        <v>8529</v>
      </c>
      <c r="H1724" s="435"/>
    </row>
    <row r="1725" spans="4:8">
      <c r="D1725" s="434" t="s">
        <v>5211</v>
      </c>
      <c r="E1725" s="435" t="s">
        <v>5212</v>
      </c>
      <c r="G1725" s="437" t="s">
        <v>8530</v>
      </c>
      <c r="H1725" s="435"/>
    </row>
    <row r="1726" spans="4:8">
      <c r="D1726" s="437" t="s">
        <v>5213</v>
      </c>
      <c r="E1726" s="435"/>
      <c r="G1726" s="437" t="s">
        <v>8531</v>
      </c>
      <c r="H1726" s="435"/>
    </row>
    <row r="1727" spans="4:8">
      <c r="D1727" s="434" t="s">
        <v>5214</v>
      </c>
      <c r="E1727" s="435" t="s">
        <v>5210</v>
      </c>
      <c r="G1727" s="437" t="s">
        <v>8532</v>
      </c>
      <c r="H1727" s="435"/>
    </row>
    <row r="1728" spans="4:8">
      <c r="D1728" s="437" t="s">
        <v>5215</v>
      </c>
      <c r="E1728" s="435"/>
      <c r="G1728" s="437" t="s">
        <v>8533</v>
      </c>
      <c r="H1728" s="435"/>
    </row>
    <row r="1729" spans="4:8">
      <c r="D1729" s="437" t="s">
        <v>5216</v>
      </c>
      <c r="E1729" s="435"/>
      <c r="G1729" s="437" t="s">
        <v>8534</v>
      </c>
      <c r="H1729" s="435"/>
    </row>
    <row r="1730" spans="4:8">
      <c r="D1730" s="437" t="s">
        <v>5217</v>
      </c>
      <c r="E1730" s="435"/>
      <c r="G1730" s="437" t="s">
        <v>8535</v>
      </c>
      <c r="H1730" s="435"/>
    </row>
    <row r="1731" spans="4:8">
      <c r="D1731" s="437" t="s">
        <v>5218</v>
      </c>
      <c r="E1731" s="435"/>
      <c r="G1731" s="437" t="s">
        <v>8536</v>
      </c>
      <c r="H1731" s="435"/>
    </row>
    <row r="1732" spans="4:8">
      <c r="D1732" s="434" t="s">
        <v>5219</v>
      </c>
      <c r="E1732" s="435" t="s">
        <v>5220</v>
      </c>
      <c r="G1732" s="437" t="s">
        <v>8537</v>
      </c>
      <c r="H1732" s="435"/>
    </row>
    <row r="1733" spans="4:8">
      <c r="D1733" s="434" t="s">
        <v>5221</v>
      </c>
      <c r="E1733" s="435" t="s">
        <v>5222</v>
      </c>
      <c r="G1733" s="437" t="s">
        <v>8538</v>
      </c>
      <c r="H1733" s="435"/>
    </row>
    <row r="1734" spans="4:8">
      <c r="D1734" s="434" t="s">
        <v>5223</v>
      </c>
      <c r="E1734" s="435" t="s">
        <v>5222</v>
      </c>
      <c r="G1734" s="437" t="s">
        <v>8539</v>
      </c>
      <c r="H1734" s="435"/>
    </row>
    <row r="1735" spans="4:8">
      <c r="D1735" s="434" t="s">
        <v>5224</v>
      </c>
      <c r="E1735" s="435"/>
      <c r="G1735" s="437" t="s">
        <v>8540</v>
      </c>
      <c r="H1735" s="435"/>
    </row>
    <row r="1736" spans="4:8">
      <c r="D1736" s="437" t="s">
        <v>5225</v>
      </c>
      <c r="E1736" s="435"/>
      <c r="G1736" s="437" t="s">
        <v>8541</v>
      </c>
      <c r="H1736" s="435"/>
    </row>
    <row r="1737" spans="4:8">
      <c r="D1737" s="437" t="s">
        <v>5226</v>
      </c>
      <c r="E1737" s="435"/>
      <c r="G1737" s="437" t="s">
        <v>8542</v>
      </c>
      <c r="H1737" s="435"/>
    </row>
    <row r="1738" spans="4:8">
      <c r="D1738" s="437" t="s">
        <v>5227</v>
      </c>
      <c r="E1738" s="435"/>
      <c r="G1738" s="437" t="s">
        <v>8543</v>
      </c>
      <c r="H1738" s="435"/>
    </row>
    <row r="1739" spans="4:8">
      <c r="D1739" s="437" t="s">
        <v>5228</v>
      </c>
      <c r="E1739" s="435"/>
      <c r="G1739" s="437" t="s">
        <v>8544</v>
      </c>
      <c r="H1739" s="435"/>
    </row>
    <row r="1740" spans="4:8">
      <c r="D1740" s="437" t="s">
        <v>5229</v>
      </c>
      <c r="E1740" s="435"/>
      <c r="G1740" s="437" t="s">
        <v>8545</v>
      </c>
      <c r="H1740" s="435"/>
    </row>
    <row r="1741" spans="4:8">
      <c r="D1741" s="437" t="s">
        <v>5230</v>
      </c>
      <c r="E1741" s="435"/>
      <c r="G1741" s="437" t="s">
        <v>8546</v>
      </c>
      <c r="H1741" s="435"/>
    </row>
    <row r="1742" spans="4:8">
      <c r="D1742" s="434" t="s">
        <v>5231</v>
      </c>
      <c r="E1742" s="435" t="s">
        <v>5232</v>
      </c>
      <c r="G1742" s="437" t="s">
        <v>8547</v>
      </c>
      <c r="H1742" s="435"/>
    </row>
    <row r="1743" spans="4:8">
      <c r="D1743" s="437" t="s">
        <v>5233</v>
      </c>
      <c r="E1743" s="435"/>
      <c r="G1743" s="434" t="s">
        <v>10921</v>
      </c>
      <c r="H1743" s="435" t="s">
        <v>10922</v>
      </c>
    </row>
    <row r="1744" spans="4:8">
      <c r="D1744" s="437" t="s">
        <v>5234</v>
      </c>
      <c r="E1744" s="435"/>
      <c r="G1744" s="434" t="s">
        <v>10923</v>
      </c>
      <c r="H1744" s="435" t="s">
        <v>10922</v>
      </c>
    </row>
    <row r="1745" spans="4:8">
      <c r="D1745" s="437" t="s">
        <v>5235</v>
      </c>
      <c r="E1745" s="435"/>
      <c r="G1745" s="437" t="s">
        <v>10924</v>
      </c>
      <c r="H1745" s="435"/>
    </row>
    <row r="1746" spans="4:8">
      <c r="D1746" s="437" t="s">
        <v>5236</v>
      </c>
      <c r="E1746" s="435"/>
      <c r="G1746" s="437" t="s">
        <v>10925</v>
      </c>
      <c r="H1746" s="435"/>
    </row>
    <row r="1747" spans="4:8">
      <c r="D1747" s="434" t="s">
        <v>5237</v>
      </c>
      <c r="E1747" s="435" t="s">
        <v>5238</v>
      </c>
      <c r="G1747" s="437" t="s">
        <v>10926</v>
      </c>
      <c r="H1747" s="435"/>
    </row>
    <row r="1748" spans="4:8">
      <c r="D1748" s="437" t="s">
        <v>5239</v>
      </c>
      <c r="E1748" s="435"/>
      <c r="G1748" s="434" t="s">
        <v>10927</v>
      </c>
      <c r="H1748" s="435" t="s">
        <v>10928</v>
      </c>
    </row>
    <row r="1749" spans="4:8">
      <c r="D1749" s="437" t="s">
        <v>5240</v>
      </c>
      <c r="E1749" s="435"/>
      <c r="G1749" s="434" t="s">
        <v>10929</v>
      </c>
      <c r="H1749" s="435" t="s">
        <v>10930</v>
      </c>
    </row>
    <row r="1750" spans="4:8">
      <c r="D1750" s="437" t="s">
        <v>5241</v>
      </c>
      <c r="E1750" s="435"/>
      <c r="G1750" s="437" t="s">
        <v>10931</v>
      </c>
      <c r="H1750" s="435"/>
    </row>
    <row r="1751" spans="4:8">
      <c r="D1751" s="437" t="s">
        <v>5242</v>
      </c>
      <c r="E1751" s="435"/>
      <c r="G1751" s="434" t="s">
        <v>807</v>
      </c>
      <c r="H1751" s="435" t="s">
        <v>8741</v>
      </c>
    </row>
    <row r="1752" spans="4:8">
      <c r="D1752" s="437" t="s">
        <v>5243</v>
      </c>
      <c r="E1752" s="435"/>
      <c r="G1752" s="434" t="s">
        <v>8742</v>
      </c>
      <c r="H1752" s="435" t="s">
        <v>8741</v>
      </c>
    </row>
    <row r="1753" spans="4:8">
      <c r="D1753" s="434" t="s">
        <v>5244</v>
      </c>
      <c r="E1753" s="435" t="s">
        <v>5245</v>
      </c>
      <c r="G1753" s="437" t="s">
        <v>8743</v>
      </c>
      <c r="H1753" s="435"/>
    </row>
    <row r="1754" spans="4:8">
      <c r="D1754" s="437" t="s">
        <v>5246</v>
      </c>
      <c r="E1754" s="435"/>
      <c r="G1754" s="437" t="s">
        <v>8744</v>
      </c>
      <c r="H1754" s="435"/>
    </row>
    <row r="1755" spans="4:8">
      <c r="D1755" s="437" t="s">
        <v>5247</v>
      </c>
      <c r="E1755" s="435"/>
      <c r="G1755" s="437" t="s">
        <v>8745</v>
      </c>
      <c r="H1755" s="435"/>
    </row>
    <row r="1756" spans="4:8">
      <c r="D1756" s="437" t="s">
        <v>5248</v>
      </c>
      <c r="E1756" s="435"/>
      <c r="G1756" s="434" t="s">
        <v>535</v>
      </c>
      <c r="H1756" s="435" t="s">
        <v>8782</v>
      </c>
    </row>
    <row r="1757" spans="4:8">
      <c r="D1757" s="437" t="s">
        <v>5249</v>
      </c>
      <c r="E1757" s="435"/>
      <c r="G1757" s="434" t="s">
        <v>8783</v>
      </c>
      <c r="H1757" s="435" t="s">
        <v>8782</v>
      </c>
    </row>
    <row r="1758" spans="4:8">
      <c r="D1758" s="437" t="s">
        <v>5250</v>
      </c>
      <c r="E1758" s="435"/>
      <c r="G1758" s="437" t="s">
        <v>8784</v>
      </c>
      <c r="H1758" s="435"/>
    </row>
    <row r="1759" spans="4:8">
      <c r="D1759" s="437" t="s">
        <v>5251</v>
      </c>
      <c r="E1759" s="435"/>
      <c r="G1759" s="437" t="s">
        <v>8785</v>
      </c>
      <c r="H1759" s="435"/>
    </row>
    <row r="1760" spans="4:8">
      <c r="D1760" s="437" t="s">
        <v>5252</v>
      </c>
      <c r="E1760" s="435"/>
      <c r="G1760" s="437" t="s">
        <v>8786</v>
      </c>
      <c r="H1760" s="435"/>
    </row>
    <row r="1761" spans="4:8">
      <c r="D1761" s="437" t="s">
        <v>5253</v>
      </c>
      <c r="E1761" s="435"/>
      <c r="G1761" s="437" t="s">
        <v>8787</v>
      </c>
      <c r="H1761" s="435"/>
    </row>
    <row r="1762" spans="4:8">
      <c r="D1762" s="437" t="s">
        <v>5254</v>
      </c>
      <c r="E1762" s="435"/>
      <c r="G1762" s="437" t="s">
        <v>8788</v>
      </c>
      <c r="H1762" s="435"/>
    </row>
    <row r="1763" spans="4:8">
      <c r="D1763" s="437" t="s">
        <v>5255</v>
      </c>
      <c r="E1763" s="435"/>
      <c r="G1763" s="437" t="s">
        <v>8789</v>
      </c>
      <c r="H1763" s="435"/>
    </row>
    <row r="1764" spans="4:8">
      <c r="D1764" s="437" t="s">
        <v>5256</v>
      </c>
      <c r="E1764" s="435"/>
      <c r="G1764" s="437" t="s">
        <v>8790</v>
      </c>
      <c r="H1764" s="435"/>
    </row>
    <row r="1765" spans="4:8">
      <c r="D1765" s="434" t="s">
        <v>5257</v>
      </c>
      <c r="E1765" s="435" t="s">
        <v>5258</v>
      </c>
      <c r="G1765" s="437" t="s">
        <v>8791</v>
      </c>
      <c r="H1765" s="435"/>
    </row>
    <row r="1766" spans="4:8">
      <c r="D1766" s="434" t="s">
        <v>5259</v>
      </c>
      <c r="E1766" s="435" t="s">
        <v>5258</v>
      </c>
      <c r="G1766" s="437" t="s">
        <v>8792</v>
      </c>
      <c r="H1766" s="435"/>
    </row>
    <row r="1767" spans="4:8">
      <c r="D1767" s="437" t="s">
        <v>5260</v>
      </c>
      <c r="E1767" s="435"/>
      <c r="G1767" s="437" t="s">
        <v>8793</v>
      </c>
      <c r="H1767" s="435"/>
    </row>
    <row r="1768" spans="4:8">
      <c r="D1768" s="437" t="s">
        <v>5261</v>
      </c>
      <c r="E1768" s="435"/>
      <c r="G1768" s="437" t="s">
        <v>8794</v>
      </c>
      <c r="H1768" s="435"/>
    </row>
    <row r="1769" spans="4:8">
      <c r="D1769" s="437" t="s">
        <v>5262</v>
      </c>
      <c r="E1769" s="435"/>
      <c r="G1769" s="437" t="s">
        <v>8795</v>
      </c>
      <c r="H1769" s="435"/>
    </row>
    <row r="1770" spans="4:8">
      <c r="D1770" s="437" t="s">
        <v>5263</v>
      </c>
      <c r="E1770" s="435"/>
      <c r="G1770" s="437" t="s">
        <v>8796</v>
      </c>
      <c r="H1770" s="435"/>
    </row>
    <row r="1771" spans="4:8">
      <c r="D1771" s="437" t="s">
        <v>5264</v>
      </c>
      <c r="E1771" s="435"/>
      <c r="G1771" s="437" t="s">
        <v>8797</v>
      </c>
      <c r="H1771" s="435"/>
    </row>
    <row r="1772" spans="4:8">
      <c r="D1772" s="434" t="s">
        <v>5265</v>
      </c>
      <c r="E1772" s="435" t="s">
        <v>5266</v>
      </c>
      <c r="G1772" s="437" t="s">
        <v>8798</v>
      </c>
      <c r="H1772" s="435"/>
    </row>
    <row r="1773" spans="4:8">
      <c r="D1773" s="437" t="s">
        <v>5267</v>
      </c>
      <c r="E1773" s="435"/>
      <c r="G1773" s="437" t="s">
        <v>8799</v>
      </c>
      <c r="H1773" s="435"/>
    </row>
    <row r="1774" spans="4:8">
      <c r="D1774" s="434" t="s">
        <v>5268</v>
      </c>
      <c r="E1774" s="435" t="s">
        <v>5269</v>
      </c>
      <c r="G1774" s="437" t="s">
        <v>8800</v>
      </c>
      <c r="H1774" s="435"/>
    </row>
    <row r="1775" spans="4:8">
      <c r="D1775" s="437" t="s">
        <v>5270</v>
      </c>
      <c r="E1775" s="435"/>
      <c r="G1775" s="434" t="s">
        <v>8808</v>
      </c>
      <c r="H1775" s="435" t="s">
        <v>8809</v>
      </c>
    </row>
    <row r="1776" spans="4:8">
      <c r="D1776" s="437" t="s">
        <v>5271</v>
      </c>
      <c r="E1776" s="435"/>
      <c r="G1776" s="437" t="s">
        <v>8810</v>
      </c>
      <c r="H1776" s="435"/>
    </row>
    <row r="1777" spans="4:8">
      <c r="D1777" s="437" t="s">
        <v>5272</v>
      </c>
      <c r="E1777" s="435"/>
      <c r="G1777" s="434" t="s">
        <v>10932</v>
      </c>
      <c r="H1777" s="435" t="s">
        <v>10933</v>
      </c>
    </row>
    <row r="1778" spans="4:8">
      <c r="D1778" s="434" t="s">
        <v>5273</v>
      </c>
      <c r="E1778" s="435" t="s">
        <v>5274</v>
      </c>
      <c r="G1778" s="434" t="s">
        <v>8825</v>
      </c>
      <c r="H1778" s="435" t="s">
        <v>8826</v>
      </c>
    </row>
    <row r="1779" spans="4:8">
      <c r="D1779" s="437" t="s">
        <v>5275</v>
      </c>
      <c r="E1779" s="435"/>
      <c r="G1779" s="437" t="s">
        <v>8827</v>
      </c>
      <c r="H1779" s="435"/>
    </row>
    <row r="1780" spans="4:8">
      <c r="D1780" s="437" t="s">
        <v>5276</v>
      </c>
      <c r="E1780" s="435"/>
      <c r="G1780" s="437" t="s">
        <v>8828</v>
      </c>
      <c r="H1780" s="435"/>
    </row>
    <row r="1781" spans="4:8">
      <c r="D1781" s="437" t="s">
        <v>5277</v>
      </c>
      <c r="E1781" s="435"/>
      <c r="G1781" s="437" t="s">
        <v>8829</v>
      </c>
      <c r="H1781" s="435"/>
    </row>
    <row r="1782" spans="4:8">
      <c r="D1782" s="437" t="s">
        <v>5278</v>
      </c>
      <c r="E1782" s="435"/>
      <c r="G1782" s="437" t="s">
        <v>8830</v>
      </c>
      <c r="H1782" s="435"/>
    </row>
    <row r="1783" spans="4:8">
      <c r="D1783" s="437" t="s">
        <v>5279</v>
      </c>
      <c r="E1783" s="435"/>
      <c r="G1783" s="437" t="s">
        <v>8831</v>
      </c>
      <c r="H1783" s="435"/>
    </row>
    <row r="1784" spans="4:8">
      <c r="D1784" s="437" t="s">
        <v>5280</v>
      </c>
      <c r="E1784" s="435"/>
      <c r="G1784" s="434" t="s">
        <v>10934</v>
      </c>
      <c r="H1784" s="435" t="s">
        <v>10935</v>
      </c>
    </row>
    <row r="1785" spans="4:8">
      <c r="D1785" s="437" t="s">
        <v>5281</v>
      </c>
      <c r="E1785" s="435"/>
      <c r="G1785" s="437" t="s">
        <v>10936</v>
      </c>
      <c r="H1785" s="435"/>
    </row>
    <row r="1786" spans="4:8">
      <c r="D1786" s="437" t="s">
        <v>5282</v>
      </c>
      <c r="E1786" s="435"/>
      <c r="G1786" s="437" t="s">
        <v>10937</v>
      </c>
      <c r="H1786" s="435"/>
    </row>
    <row r="1787" spans="4:8">
      <c r="D1787" s="437" t="s">
        <v>5283</v>
      </c>
      <c r="E1787" s="435"/>
      <c r="G1787" s="437" t="s">
        <v>10938</v>
      </c>
      <c r="H1787" s="435"/>
    </row>
    <row r="1788" spans="4:8">
      <c r="D1788" s="437" t="s">
        <v>5284</v>
      </c>
      <c r="E1788" s="435"/>
      <c r="G1788" s="437" t="s">
        <v>10939</v>
      </c>
      <c r="H1788" s="435"/>
    </row>
    <row r="1789" spans="4:8">
      <c r="D1789" s="434" t="s">
        <v>5285</v>
      </c>
      <c r="E1789" s="435" t="s">
        <v>5286</v>
      </c>
      <c r="G1789" s="434" t="s">
        <v>10940</v>
      </c>
      <c r="H1789" s="435" t="s">
        <v>10941</v>
      </c>
    </row>
    <row r="1790" spans="4:8">
      <c r="D1790" s="437" t="s">
        <v>5287</v>
      </c>
      <c r="E1790" s="435"/>
      <c r="G1790" s="434" t="s">
        <v>10942</v>
      </c>
      <c r="H1790" s="435" t="s">
        <v>10941</v>
      </c>
    </row>
    <row r="1791" spans="4:8">
      <c r="D1791" s="434" t="s">
        <v>5288</v>
      </c>
      <c r="E1791" s="435" t="s">
        <v>5289</v>
      </c>
      <c r="G1791" s="437" t="s">
        <v>10943</v>
      </c>
      <c r="H1791" s="435"/>
    </row>
    <row r="1792" spans="4:8">
      <c r="D1792" s="437" t="s">
        <v>5290</v>
      </c>
      <c r="E1792" s="435"/>
      <c r="G1792" s="437" t="s">
        <v>10944</v>
      </c>
      <c r="H1792" s="435"/>
    </row>
    <row r="1793" spans="4:8">
      <c r="D1793" s="437" t="s">
        <v>5291</v>
      </c>
      <c r="E1793" s="435"/>
      <c r="G1793" s="437" t="s">
        <v>10945</v>
      </c>
      <c r="H1793" s="435"/>
    </row>
    <row r="1794" spans="4:8">
      <c r="D1794" s="437" t="s">
        <v>5292</v>
      </c>
      <c r="E1794" s="435"/>
      <c r="G1794" s="437" t="s">
        <v>10946</v>
      </c>
      <c r="H1794" s="435"/>
    </row>
    <row r="1795" spans="4:8">
      <c r="D1795" s="437" t="s">
        <v>5293</v>
      </c>
      <c r="E1795" s="435"/>
      <c r="G1795" s="437" t="s">
        <v>10947</v>
      </c>
      <c r="H1795" s="435"/>
    </row>
    <row r="1796" spans="4:8">
      <c r="D1796" s="437" t="s">
        <v>5294</v>
      </c>
      <c r="E1796" s="435"/>
      <c r="G1796" s="437" t="s">
        <v>10948</v>
      </c>
      <c r="H1796" s="435"/>
    </row>
    <row r="1797" spans="4:8">
      <c r="D1797" s="437" t="s">
        <v>5295</v>
      </c>
      <c r="E1797" s="435"/>
      <c r="G1797" s="434" t="s">
        <v>10949</v>
      </c>
      <c r="H1797" s="435" t="s">
        <v>10941</v>
      </c>
    </row>
    <row r="1798" spans="4:8">
      <c r="D1798" s="437" t="s">
        <v>5296</v>
      </c>
      <c r="E1798" s="435"/>
      <c r="G1798" s="437" t="s">
        <v>10950</v>
      </c>
      <c r="H1798" s="435"/>
    </row>
    <row r="1799" spans="4:8">
      <c r="D1799" s="437" t="s">
        <v>5297</v>
      </c>
      <c r="E1799" s="435"/>
      <c r="G1799" s="437" t="s">
        <v>10951</v>
      </c>
      <c r="H1799" s="435"/>
    </row>
    <row r="1800" spans="4:8">
      <c r="D1800" s="437" t="s">
        <v>5298</v>
      </c>
      <c r="E1800" s="435"/>
      <c r="G1800" s="437" t="s">
        <v>10952</v>
      </c>
      <c r="H1800" s="435"/>
    </row>
    <row r="1801" spans="4:8">
      <c r="D1801" s="437" t="s">
        <v>5299</v>
      </c>
      <c r="E1801" s="435"/>
      <c r="G1801" s="437" t="s">
        <v>10953</v>
      </c>
      <c r="H1801" s="435"/>
    </row>
    <row r="1802" spans="4:8">
      <c r="D1802" s="437" t="s">
        <v>5300</v>
      </c>
      <c r="E1802" s="435"/>
      <c r="G1802" s="437" t="s">
        <v>10954</v>
      </c>
      <c r="H1802" s="435"/>
    </row>
    <row r="1803" spans="4:8">
      <c r="D1803" s="437" t="s">
        <v>5301</v>
      </c>
      <c r="E1803" s="435"/>
      <c r="G1803" s="437" t="s">
        <v>10955</v>
      </c>
      <c r="H1803" s="435"/>
    </row>
    <row r="1804" spans="4:8">
      <c r="D1804" s="437" t="s">
        <v>5302</v>
      </c>
      <c r="E1804" s="435"/>
      <c r="G1804" s="434" t="s">
        <v>8877</v>
      </c>
      <c r="H1804" s="435" t="s">
        <v>8878</v>
      </c>
    </row>
    <row r="1805" spans="4:8">
      <c r="D1805" s="434" t="s">
        <v>5303</v>
      </c>
      <c r="E1805" s="435" t="s">
        <v>5304</v>
      </c>
      <c r="G1805" s="434" t="s">
        <v>8879</v>
      </c>
      <c r="H1805" s="435" t="s">
        <v>8878</v>
      </c>
    </row>
    <row r="1806" spans="4:8">
      <c r="D1806" s="437" t="s">
        <v>5305</v>
      </c>
      <c r="E1806" s="435"/>
      <c r="G1806" s="437" t="s">
        <v>8880</v>
      </c>
      <c r="H1806" s="435"/>
    </row>
    <row r="1807" spans="4:8">
      <c r="D1807" s="437" t="s">
        <v>5306</v>
      </c>
      <c r="E1807" s="435"/>
      <c r="G1807" s="434" t="s">
        <v>8881</v>
      </c>
      <c r="H1807" s="435" t="s">
        <v>8882</v>
      </c>
    </row>
    <row r="1808" spans="4:8">
      <c r="D1808" s="437" t="s">
        <v>5307</v>
      </c>
      <c r="E1808" s="435"/>
      <c r="G1808" s="437" t="s">
        <v>8883</v>
      </c>
      <c r="H1808" s="435"/>
    </row>
    <row r="1809" spans="4:8">
      <c r="D1809" s="437" t="s">
        <v>5308</v>
      </c>
      <c r="E1809" s="435"/>
      <c r="G1809" s="437" t="s">
        <v>8884</v>
      </c>
      <c r="H1809" s="435"/>
    </row>
    <row r="1810" spans="4:8">
      <c r="D1810" s="437" t="s">
        <v>5309</v>
      </c>
      <c r="E1810" s="435"/>
      <c r="G1810" s="437" t="s">
        <v>8885</v>
      </c>
      <c r="H1810" s="435"/>
    </row>
    <row r="1811" spans="4:8">
      <c r="D1811" s="434" t="s">
        <v>756</v>
      </c>
      <c r="E1811" s="435" t="s">
        <v>5310</v>
      </c>
      <c r="G1811" s="437" t="s">
        <v>8886</v>
      </c>
      <c r="H1811" s="435"/>
    </row>
    <row r="1812" spans="4:8">
      <c r="D1812" s="434" t="s">
        <v>5311</v>
      </c>
      <c r="E1812" s="435" t="s">
        <v>5310</v>
      </c>
      <c r="G1812" s="437" t="s">
        <v>8887</v>
      </c>
      <c r="H1812" s="435"/>
    </row>
    <row r="1813" spans="4:8">
      <c r="D1813" s="437" t="s">
        <v>5312</v>
      </c>
      <c r="E1813" s="435"/>
      <c r="G1813" s="434" t="s">
        <v>10956</v>
      </c>
      <c r="H1813" s="435" t="s">
        <v>10957</v>
      </c>
    </row>
    <row r="1814" spans="4:8">
      <c r="D1814" s="437" t="s">
        <v>5313</v>
      </c>
      <c r="E1814" s="435"/>
      <c r="G1814" s="437" t="s">
        <v>10958</v>
      </c>
      <c r="H1814" s="435"/>
    </row>
    <row r="1815" spans="4:8">
      <c r="D1815" s="437" t="s">
        <v>5314</v>
      </c>
      <c r="E1815" s="435"/>
      <c r="G1815" s="437" t="s">
        <v>10959</v>
      </c>
      <c r="H1815" s="435"/>
    </row>
    <row r="1816" spans="4:8">
      <c r="D1816" s="437" t="s">
        <v>5315</v>
      </c>
      <c r="E1816" s="435"/>
      <c r="G1816" s="434" t="s">
        <v>10960</v>
      </c>
      <c r="H1816" s="435" t="s">
        <v>10961</v>
      </c>
    </row>
    <row r="1817" spans="4:8">
      <c r="D1817" s="437" t="s">
        <v>5316</v>
      </c>
      <c r="E1817" s="435"/>
      <c r="G1817" s="437" t="s">
        <v>10962</v>
      </c>
      <c r="H1817" s="435"/>
    </row>
    <row r="1818" spans="4:8">
      <c r="D1818" s="437" t="s">
        <v>5317</v>
      </c>
      <c r="E1818" s="435"/>
      <c r="G1818" s="434" t="s">
        <v>10963</v>
      </c>
      <c r="H1818" s="435" t="s">
        <v>10964</v>
      </c>
    </row>
    <row r="1819" spans="4:8">
      <c r="D1819" s="437" t="s">
        <v>5318</v>
      </c>
      <c r="E1819" s="435"/>
      <c r="G1819" s="437" t="s">
        <v>10965</v>
      </c>
      <c r="H1819" s="435"/>
    </row>
    <row r="1820" spans="4:8">
      <c r="D1820" s="437" t="s">
        <v>5319</v>
      </c>
      <c r="E1820" s="435"/>
      <c r="G1820" s="434" t="s">
        <v>10966</v>
      </c>
      <c r="H1820" s="435" t="s">
        <v>10967</v>
      </c>
    </row>
    <row r="1821" spans="4:8">
      <c r="D1821" s="437" t="s">
        <v>5320</v>
      </c>
      <c r="E1821" s="435"/>
      <c r="G1821" s="437" t="s">
        <v>10968</v>
      </c>
      <c r="H1821" s="435"/>
    </row>
    <row r="1822" spans="4:8">
      <c r="D1822" s="437" t="s">
        <v>5321</v>
      </c>
      <c r="E1822" s="435"/>
      <c r="G1822" s="437" t="s">
        <v>10969</v>
      </c>
      <c r="H1822" s="435"/>
    </row>
    <row r="1823" spans="4:8">
      <c r="D1823" s="437" t="s">
        <v>5322</v>
      </c>
      <c r="E1823" s="435"/>
      <c r="G1823" s="437" t="s">
        <v>10970</v>
      </c>
      <c r="H1823" s="435"/>
    </row>
    <row r="1824" spans="4:8">
      <c r="D1824" s="437" t="s">
        <v>5323</v>
      </c>
      <c r="E1824" s="435"/>
      <c r="G1824" s="437" t="s">
        <v>10971</v>
      </c>
      <c r="H1824" s="435"/>
    </row>
    <row r="1825" spans="4:8">
      <c r="D1825" s="434" t="s">
        <v>5324</v>
      </c>
      <c r="E1825" s="435" t="s">
        <v>5325</v>
      </c>
      <c r="G1825" s="437" t="s">
        <v>10972</v>
      </c>
      <c r="H1825" s="435"/>
    </row>
    <row r="1826" spans="4:8">
      <c r="D1826" s="437" t="s">
        <v>5326</v>
      </c>
      <c r="E1826" s="435"/>
      <c r="G1826" s="437" t="s">
        <v>10973</v>
      </c>
      <c r="H1826" s="435"/>
    </row>
    <row r="1827" spans="4:8">
      <c r="D1827" s="437" t="s">
        <v>5327</v>
      </c>
      <c r="E1827" s="435"/>
      <c r="G1827" s="434" t="s">
        <v>10974</v>
      </c>
      <c r="H1827" s="435" t="s">
        <v>10975</v>
      </c>
    </row>
    <row r="1828" spans="4:8">
      <c r="D1828" s="437" t="s">
        <v>5328</v>
      </c>
      <c r="E1828" s="435"/>
      <c r="G1828" s="437" t="s">
        <v>10976</v>
      </c>
      <c r="H1828" s="435"/>
    </row>
    <row r="1829" spans="4:8">
      <c r="D1829" s="437" t="s">
        <v>5329</v>
      </c>
      <c r="E1829" s="435"/>
      <c r="G1829" s="437" t="s">
        <v>10977</v>
      </c>
      <c r="H1829" s="435"/>
    </row>
    <row r="1830" spans="4:8">
      <c r="D1830" s="437" t="s">
        <v>5330</v>
      </c>
      <c r="E1830" s="435"/>
      <c r="G1830" s="437" t="s">
        <v>10978</v>
      </c>
      <c r="H1830" s="435"/>
    </row>
    <row r="1831" spans="4:8">
      <c r="D1831" s="437" t="s">
        <v>5331</v>
      </c>
      <c r="E1831" s="435"/>
      <c r="G1831" s="434" t="s">
        <v>10979</v>
      </c>
      <c r="H1831" s="435" t="s">
        <v>10980</v>
      </c>
    </row>
    <row r="1832" spans="4:8">
      <c r="D1832" s="437" t="s">
        <v>5332</v>
      </c>
      <c r="E1832" s="435"/>
      <c r="G1832" s="434" t="s">
        <v>10981</v>
      </c>
      <c r="H1832" s="435" t="s">
        <v>10980</v>
      </c>
    </row>
    <row r="1833" spans="4:8">
      <c r="D1833" s="437" t="s">
        <v>5333</v>
      </c>
      <c r="E1833" s="435"/>
      <c r="G1833" s="437" t="s">
        <v>10982</v>
      </c>
      <c r="H1833" s="435"/>
    </row>
    <row r="1834" spans="4:8">
      <c r="D1834" s="437" t="s">
        <v>5334</v>
      </c>
      <c r="E1834" s="435"/>
      <c r="G1834" s="437" t="s">
        <v>10983</v>
      </c>
      <c r="H1834" s="435"/>
    </row>
    <row r="1835" spans="4:8">
      <c r="D1835" s="437" t="s">
        <v>5335</v>
      </c>
      <c r="E1835" s="435"/>
      <c r="G1835" s="437" t="s">
        <v>10984</v>
      </c>
      <c r="H1835" s="435"/>
    </row>
    <row r="1836" spans="4:8">
      <c r="D1836" s="437" t="s">
        <v>5336</v>
      </c>
      <c r="E1836" s="435"/>
      <c r="G1836" s="437" t="s">
        <v>10985</v>
      </c>
      <c r="H1836" s="435"/>
    </row>
    <row r="1837" spans="4:8">
      <c r="D1837" s="437" t="s">
        <v>5337</v>
      </c>
      <c r="E1837" s="435"/>
      <c r="G1837" s="437" t="s">
        <v>10986</v>
      </c>
      <c r="H1837" s="435"/>
    </row>
    <row r="1838" spans="4:8">
      <c r="D1838" s="437" t="s">
        <v>5338</v>
      </c>
      <c r="E1838" s="435"/>
      <c r="G1838" s="437" t="s">
        <v>10987</v>
      </c>
      <c r="H1838" s="435"/>
    </row>
    <row r="1839" spans="4:8">
      <c r="D1839" s="437" t="s">
        <v>5339</v>
      </c>
      <c r="E1839" s="435"/>
      <c r="G1839" s="437" t="s">
        <v>10988</v>
      </c>
      <c r="H1839" s="435"/>
    </row>
    <row r="1840" spans="4:8">
      <c r="D1840" s="437" t="s">
        <v>5340</v>
      </c>
      <c r="E1840" s="435"/>
      <c r="G1840" s="437" t="s">
        <v>10989</v>
      </c>
      <c r="H1840" s="435"/>
    </row>
    <row r="1841" spans="4:8">
      <c r="D1841" s="437" t="s">
        <v>5341</v>
      </c>
      <c r="E1841" s="435"/>
      <c r="G1841" s="437" t="s">
        <v>10990</v>
      </c>
      <c r="H1841" s="435"/>
    </row>
    <row r="1842" spans="4:8">
      <c r="D1842" s="437" t="s">
        <v>5342</v>
      </c>
      <c r="E1842" s="435"/>
      <c r="G1842" s="437" t="s">
        <v>10991</v>
      </c>
      <c r="H1842" s="435"/>
    </row>
    <row r="1843" spans="4:8">
      <c r="D1843" s="434" t="s">
        <v>5343</v>
      </c>
      <c r="E1843" s="435" t="s">
        <v>5344</v>
      </c>
      <c r="G1843" s="437" t="s">
        <v>10992</v>
      </c>
      <c r="H1843" s="435"/>
    </row>
    <row r="1844" spans="4:8">
      <c r="D1844" s="434" t="s">
        <v>5345</v>
      </c>
      <c r="E1844" s="435" t="s">
        <v>5346</v>
      </c>
      <c r="G1844" s="437" t="s">
        <v>10993</v>
      </c>
      <c r="H1844" s="435"/>
    </row>
    <row r="1845" spans="4:8">
      <c r="D1845" s="437" t="s">
        <v>5347</v>
      </c>
      <c r="E1845" s="435"/>
      <c r="G1845" s="437" t="s">
        <v>10994</v>
      </c>
      <c r="H1845" s="435"/>
    </row>
    <row r="1846" spans="4:8">
      <c r="D1846" s="434" t="s">
        <v>5348</v>
      </c>
      <c r="E1846" s="435" t="s">
        <v>5349</v>
      </c>
      <c r="G1846" s="437" t="s">
        <v>10995</v>
      </c>
      <c r="H1846" s="435"/>
    </row>
    <row r="1847" spans="4:8">
      <c r="D1847" s="434" t="s">
        <v>5350</v>
      </c>
      <c r="E1847" s="435" t="s">
        <v>5349</v>
      </c>
      <c r="G1847" s="437" t="s">
        <v>10996</v>
      </c>
      <c r="H1847" s="435"/>
    </row>
    <row r="1848" spans="4:8">
      <c r="D1848" s="437" t="s">
        <v>5351</v>
      </c>
      <c r="E1848" s="435"/>
      <c r="G1848" s="434" t="s">
        <v>10997</v>
      </c>
      <c r="H1848" s="435" t="s">
        <v>10998</v>
      </c>
    </row>
    <row r="1849" spans="4:8">
      <c r="D1849" s="437" t="s">
        <v>5352</v>
      </c>
      <c r="E1849" s="435"/>
      <c r="G1849" s="437" t="s">
        <v>10999</v>
      </c>
      <c r="H1849" s="435"/>
    </row>
    <row r="1850" spans="4:8">
      <c r="D1850" s="434" t="s">
        <v>5353</v>
      </c>
      <c r="E1850" s="435" t="s">
        <v>5354</v>
      </c>
      <c r="G1850" s="434" t="s">
        <v>11000</v>
      </c>
      <c r="H1850" s="435" t="s">
        <v>11001</v>
      </c>
    </row>
    <row r="1851" spans="4:8">
      <c r="D1851" s="434" t="s">
        <v>5355</v>
      </c>
      <c r="E1851" s="435" t="s">
        <v>5354</v>
      </c>
      <c r="G1851" s="437" t="s">
        <v>11002</v>
      </c>
      <c r="H1851" s="435"/>
    </row>
    <row r="1852" spans="4:8">
      <c r="D1852" s="437" t="s">
        <v>5356</v>
      </c>
      <c r="E1852" s="435"/>
      <c r="G1852" s="434" t="s">
        <v>11003</v>
      </c>
      <c r="H1852" s="435" t="s">
        <v>11004</v>
      </c>
    </row>
    <row r="1853" spans="4:8">
      <c r="D1853" s="437" t="s">
        <v>5357</v>
      </c>
      <c r="E1853" s="435"/>
      <c r="G1853" s="434" t="s">
        <v>11005</v>
      </c>
      <c r="H1853" s="435" t="s">
        <v>11006</v>
      </c>
    </row>
    <row r="1854" spans="4:8">
      <c r="D1854" s="437" t="s">
        <v>5358</v>
      </c>
      <c r="E1854" s="435"/>
      <c r="G1854" s="437" t="s">
        <v>11007</v>
      </c>
      <c r="H1854" s="435"/>
    </row>
    <row r="1855" spans="4:8">
      <c r="D1855" s="437" t="s">
        <v>5359</v>
      </c>
      <c r="E1855" s="435"/>
      <c r="G1855" s="437" t="s">
        <v>11008</v>
      </c>
      <c r="H1855" s="435"/>
    </row>
    <row r="1856" spans="4:8">
      <c r="D1856" s="437" t="s">
        <v>5360</v>
      </c>
      <c r="E1856" s="435"/>
      <c r="G1856" s="434" t="s">
        <v>11009</v>
      </c>
      <c r="H1856" s="435" t="s">
        <v>11010</v>
      </c>
    </row>
    <row r="1857" spans="4:8">
      <c r="D1857" s="437" t="s">
        <v>5361</v>
      </c>
      <c r="E1857" s="435"/>
      <c r="G1857" s="437" t="s">
        <v>11011</v>
      </c>
      <c r="H1857" s="435"/>
    </row>
    <row r="1858" spans="4:8">
      <c r="D1858" s="437" t="s">
        <v>5362</v>
      </c>
      <c r="E1858" s="435"/>
      <c r="G1858" s="437" t="s">
        <v>11012</v>
      </c>
      <c r="H1858" s="435"/>
    </row>
    <row r="1859" spans="4:8">
      <c r="D1859" s="434" t="s">
        <v>5363</v>
      </c>
      <c r="E1859" s="435" t="s">
        <v>5354</v>
      </c>
      <c r="G1859" s="437" t="s">
        <v>11013</v>
      </c>
      <c r="H1859" s="435"/>
    </row>
    <row r="1860" spans="4:8">
      <c r="D1860" s="437" t="s">
        <v>5364</v>
      </c>
      <c r="E1860" s="435"/>
      <c r="G1860" s="434" t="s">
        <v>11014</v>
      </c>
      <c r="H1860" s="435" t="s">
        <v>11015</v>
      </c>
    </row>
    <row r="1861" spans="4:8">
      <c r="D1861" s="437" t="s">
        <v>5365</v>
      </c>
      <c r="E1861" s="435"/>
      <c r="G1861" s="437" t="s">
        <v>11016</v>
      </c>
      <c r="H1861" s="435"/>
    </row>
    <row r="1862" spans="4:8">
      <c r="D1862" s="434" t="s">
        <v>5366</v>
      </c>
      <c r="E1862" s="435" t="s">
        <v>5354</v>
      </c>
      <c r="G1862" s="437" t="s">
        <v>11017</v>
      </c>
      <c r="H1862" s="435"/>
    </row>
    <row r="1863" spans="4:8">
      <c r="D1863" s="437" t="s">
        <v>5367</v>
      </c>
      <c r="E1863" s="435"/>
      <c r="G1863" s="437" t="s">
        <v>11018</v>
      </c>
      <c r="H1863" s="435"/>
    </row>
    <row r="1864" spans="4:8">
      <c r="D1864" s="437" t="s">
        <v>5368</v>
      </c>
      <c r="E1864" s="435"/>
      <c r="G1864" s="437" t="s">
        <v>11019</v>
      </c>
      <c r="H1864" s="435"/>
    </row>
    <row r="1865" spans="4:8">
      <c r="D1865" s="437" t="s">
        <v>5369</v>
      </c>
      <c r="E1865" s="435"/>
      <c r="G1865" s="434" t="s">
        <v>9332</v>
      </c>
      <c r="H1865" s="435" t="s">
        <v>9333</v>
      </c>
    </row>
    <row r="1866" spans="4:8">
      <c r="D1866" s="437" t="s">
        <v>5370</v>
      </c>
      <c r="E1866" s="435"/>
      <c r="G1866" s="434" t="s">
        <v>9334</v>
      </c>
      <c r="H1866" s="435" t="s">
        <v>9333</v>
      </c>
    </row>
    <row r="1867" spans="4:8">
      <c r="D1867" s="434" t="s">
        <v>5371</v>
      </c>
      <c r="E1867" s="435" t="s">
        <v>5372</v>
      </c>
      <c r="G1867" s="437" t="s">
        <v>9335</v>
      </c>
      <c r="H1867" s="435"/>
    </row>
    <row r="1868" spans="4:8">
      <c r="D1868" s="434" t="s">
        <v>5373</v>
      </c>
      <c r="E1868" s="435" t="s">
        <v>5372</v>
      </c>
      <c r="G1868" s="434" t="s">
        <v>11020</v>
      </c>
      <c r="H1868" s="435" t="s">
        <v>11021</v>
      </c>
    </row>
    <row r="1869" spans="4:8">
      <c r="D1869" s="437" t="s">
        <v>5374</v>
      </c>
      <c r="E1869" s="435"/>
    </row>
    <row r="1870" spans="4:8">
      <c r="D1870" s="434" t="s">
        <v>5375</v>
      </c>
      <c r="E1870" s="435" t="s">
        <v>5376</v>
      </c>
    </row>
    <row r="1871" spans="4:8">
      <c r="D1871" s="437" t="s">
        <v>5377</v>
      </c>
      <c r="E1871" s="435"/>
    </row>
    <row r="1872" spans="4:8">
      <c r="D1872" s="437" t="s">
        <v>5378</v>
      </c>
      <c r="E1872" s="435"/>
    </row>
    <row r="1873" spans="4:5">
      <c r="D1873" s="434" t="s">
        <v>5379</v>
      </c>
      <c r="E1873" s="435" t="s">
        <v>5380</v>
      </c>
    </row>
    <row r="1874" spans="4:5">
      <c r="D1874" s="434" t="s">
        <v>5381</v>
      </c>
      <c r="E1874" s="435" t="s">
        <v>5380</v>
      </c>
    </row>
    <row r="1875" spans="4:5">
      <c r="D1875" s="437" t="s">
        <v>5382</v>
      </c>
      <c r="E1875" s="435"/>
    </row>
    <row r="1876" spans="4:5">
      <c r="D1876" s="437" t="s">
        <v>5383</v>
      </c>
      <c r="E1876" s="435"/>
    </row>
    <row r="1877" spans="4:5">
      <c r="D1877" s="437" t="s">
        <v>5384</v>
      </c>
      <c r="E1877" s="435"/>
    </row>
    <row r="1878" spans="4:5">
      <c r="D1878" s="434" t="s">
        <v>5385</v>
      </c>
      <c r="E1878" s="435" t="s">
        <v>5386</v>
      </c>
    </row>
    <row r="1879" spans="4:5">
      <c r="D1879" s="437" t="s">
        <v>5387</v>
      </c>
      <c r="E1879" s="435"/>
    </row>
    <row r="1880" spans="4:5">
      <c r="D1880" s="437" t="s">
        <v>5388</v>
      </c>
      <c r="E1880" s="435"/>
    </row>
    <row r="1881" spans="4:5">
      <c r="D1881" s="434" t="s">
        <v>5389</v>
      </c>
      <c r="E1881" s="435" t="s">
        <v>5390</v>
      </c>
    </row>
    <row r="1882" spans="4:5">
      <c r="D1882" s="437" t="s">
        <v>5391</v>
      </c>
      <c r="E1882" s="435"/>
    </row>
    <row r="1883" spans="4:5">
      <c r="D1883" s="437" t="s">
        <v>5392</v>
      </c>
      <c r="E1883" s="435"/>
    </row>
    <row r="1884" spans="4:5">
      <c r="D1884" s="437" t="s">
        <v>5393</v>
      </c>
      <c r="E1884" s="435"/>
    </row>
    <row r="1885" spans="4:5">
      <c r="D1885" s="437" t="s">
        <v>5394</v>
      </c>
      <c r="E1885" s="435"/>
    </row>
    <row r="1886" spans="4:5">
      <c r="D1886" s="437" t="s">
        <v>5395</v>
      </c>
      <c r="E1886" s="435"/>
    </row>
    <row r="1887" spans="4:5">
      <c r="D1887" s="437" t="s">
        <v>5396</v>
      </c>
      <c r="E1887" s="435"/>
    </row>
    <row r="1888" spans="4:5">
      <c r="D1888" s="437" t="s">
        <v>5397</v>
      </c>
      <c r="E1888" s="435"/>
    </row>
    <row r="1889" spans="4:5">
      <c r="D1889" s="437" t="s">
        <v>5398</v>
      </c>
      <c r="E1889" s="435"/>
    </row>
    <row r="1890" spans="4:5">
      <c r="D1890" s="437" t="s">
        <v>5399</v>
      </c>
      <c r="E1890" s="435"/>
    </row>
    <row r="1891" spans="4:5">
      <c r="D1891" s="437" t="s">
        <v>5399</v>
      </c>
      <c r="E1891" s="435"/>
    </row>
    <row r="1892" spans="4:5">
      <c r="D1892" s="437" t="s">
        <v>5400</v>
      </c>
      <c r="E1892" s="435"/>
    </row>
    <row r="1893" spans="4:5">
      <c r="D1893" s="434" t="s">
        <v>5401</v>
      </c>
      <c r="E1893" s="435" t="s">
        <v>5402</v>
      </c>
    </row>
    <row r="1894" spans="4:5">
      <c r="D1894" s="434" t="s">
        <v>5403</v>
      </c>
      <c r="E1894" s="435" t="s">
        <v>5404</v>
      </c>
    </row>
    <row r="1895" spans="4:5">
      <c r="D1895" s="437" t="s">
        <v>5405</v>
      </c>
      <c r="E1895" s="435"/>
    </row>
    <row r="1896" spans="4:5">
      <c r="D1896" s="437" t="s">
        <v>5405</v>
      </c>
      <c r="E1896" s="435"/>
    </row>
    <row r="1897" spans="4:5">
      <c r="D1897" s="437" t="s">
        <v>5406</v>
      </c>
      <c r="E1897" s="435"/>
    </row>
    <row r="1898" spans="4:5">
      <c r="D1898" s="437" t="s">
        <v>5407</v>
      </c>
      <c r="E1898" s="435"/>
    </row>
    <row r="1899" spans="4:5">
      <c r="D1899" s="437" t="s">
        <v>5408</v>
      </c>
      <c r="E1899" s="435"/>
    </row>
    <row r="1900" spans="4:5">
      <c r="D1900" s="437" t="s">
        <v>5409</v>
      </c>
      <c r="E1900" s="435"/>
    </row>
    <row r="1901" spans="4:5">
      <c r="D1901" s="437" t="s">
        <v>5410</v>
      </c>
      <c r="E1901" s="435"/>
    </row>
    <row r="1902" spans="4:5">
      <c r="D1902" s="437" t="s">
        <v>5411</v>
      </c>
      <c r="E1902" s="435"/>
    </row>
    <row r="1903" spans="4:5">
      <c r="D1903" s="437" t="s">
        <v>5412</v>
      </c>
      <c r="E1903" s="435"/>
    </row>
    <row r="1904" spans="4:5">
      <c r="D1904" s="437" t="s">
        <v>5413</v>
      </c>
      <c r="E1904" s="435"/>
    </row>
    <row r="1905" spans="4:5">
      <c r="D1905" s="434" t="s">
        <v>5414</v>
      </c>
      <c r="E1905" s="435" t="s">
        <v>5415</v>
      </c>
    </row>
    <row r="1906" spans="4:5">
      <c r="D1906" s="434" t="s">
        <v>5416</v>
      </c>
      <c r="E1906" s="435" t="s">
        <v>5415</v>
      </c>
    </row>
    <row r="1907" spans="4:5">
      <c r="D1907" s="434" t="s">
        <v>5417</v>
      </c>
      <c r="E1907" s="435" t="s">
        <v>5418</v>
      </c>
    </row>
    <row r="1908" spans="4:5">
      <c r="D1908" s="434" t="s">
        <v>5419</v>
      </c>
      <c r="E1908" s="435" t="s">
        <v>5420</v>
      </c>
    </row>
    <row r="1909" spans="4:5">
      <c r="D1909" s="437" t="s">
        <v>5421</v>
      </c>
      <c r="E1909" s="435"/>
    </row>
    <row r="1910" spans="4:5">
      <c r="D1910" s="434" t="s">
        <v>5422</v>
      </c>
      <c r="E1910" s="435" t="s">
        <v>5423</v>
      </c>
    </row>
    <row r="1911" spans="4:5">
      <c r="D1911" s="434" t="s">
        <v>5424</v>
      </c>
      <c r="E1911" s="435" t="s">
        <v>5423</v>
      </c>
    </row>
    <row r="1912" spans="4:5">
      <c r="D1912" s="437" t="s">
        <v>5425</v>
      </c>
      <c r="E1912" s="435"/>
    </row>
    <row r="1913" spans="4:5">
      <c r="D1913" s="437" t="s">
        <v>5426</v>
      </c>
      <c r="E1913" s="435"/>
    </row>
    <row r="1914" spans="4:5">
      <c r="D1914" s="434" t="s">
        <v>5427</v>
      </c>
      <c r="E1914" s="435" t="s">
        <v>5428</v>
      </c>
    </row>
    <row r="1915" spans="4:5">
      <c r="D1915" s="437" t="s">
        <v>5429</v>
      </c>
      <c r="E1915" s="435"/>
    </row>
    <row r="1916" spans="4:5">
      <c r="D1916" s="437" t="s">
        <v>5430</v>
      </c>
      <c r="E1916" s="435"/>
    </row>
    <row r="1917" spans="4:5">
      <c r="D1917" s="437" t="s">
        <v>5431</v>
      </c>
      <c r="E1917" s="435"/>
    </row>
    <row r="1918" spans="4:5">
      <c r="D1918" s="437" t="s">
        <v>5432</v>
      </c>
      <c r="E1918" s="435"/>
    </row>
    <row r="1919" spans="4:5">
      <c r="D1919" s="437" t="s">
        <v>5433</v>
      </c>
      <c r="E1919" s="435"/>
    </row>
    <row r="1920" spans="4:5">
      <c r="D1920" s="437" t="s">
        <v>5434</v>
      </c>
      <c r="E1920" s="435"/>
    </row>
    <row r="1921" spans="4:5">
      <c r="D1921" s="437" t="s">
        <v>5435</v>
      </c>
      <c r="E1921" s="435"/>
    </row>
    <row r="1922" spans="4:5">
      <c r="D1922" s="437" t="s">
        <v>5436</v>
      </c>
      <c r="E1922" s="435"/>
    </row>
    <row r="1923" spans="4:5">
      <c r="D1923" s="434" t="s">
        <v>5437</v>
      </c>
      <c r="E1923" s="435" t="s">
        <v>5438</v>
      </c>
    </row>
    <row r="1924" spans="4:5">
      <c r="D1924" s="434" t="s">
        <v>5439</v>
      </c>
      <c r="E1924" s="435" t="s">
        <v>5438</v>
      </c>
    </row>
    <row r="1925" spans="4:5">
      <c r="D1925" s="437" t="s">
        <v>5440</v>
      </c>
      <c r="E1925" s="435"/>
    </row>
    <row r="1926" spans="4:5">
      <c r="D1926" s="434" t="s">
        <v>5441</v>
      </c>
      <c r="E1926" s="435" t="s">
        <v>5442</v>
      </c>
    </row>
    <row r="1927" spans="4:5">
      <c r="D1927" s="437" t="s">
        <v>5443</v>
      </c>
      <c r="E1927" s="435"/>
    </row>
    <row r="1928" spans="4:5">
      <c r="D1928" s="437" t="s">
        <v>5444</v>
      </c>
      <c r="E1928" s="435"/>
    </row>
    <row r="1929" spans="4:5">
      <c r="D1929" s="437" t="s">
        <v>5445</v>
      </c>
      <c r="E1929" s="435"/>
    </row>
    <row r="1930" spans="4:5">
      <c r="D1930" s="437" t="s">
        <v>5446</v>
      </c>
      <c r="E1930" s="435"/>
    </row>
    <row r="1931" spans="4:5">
      <c r="D1931" s="434" t="s">
        <v>5447</v>
      </c>
      <c r="E1931" s="435" t="s">
        <v>5448</v>
      </c>
    </row>
    <row r="1932" spans="4:5">
      <c r="D1932" s="437" t="s">
        <v>5449</v>
      </c>
      <c r="E1932" s="435"/>
    </row>
    <row r="1933" spans="4:5">
      <c r="D1933" s="434" t="s">
        <v>5450</v>
      </c>
      <c r="E1933" s="435" t="s">
        <v>5451</v>
      </c>
    </row>
    <row r="1934" spans="4:5">
      <c r="D1934" s="434" t="s">
        <v>5452</v>
      </c>
      <c r="E1934" s="435" t="s">
        <v>5453</v>
      </c>
    </row>
    <row r="1935" spans="4:5">
      <c r="D1935" s="437" t="s">
        <v>5454</v>
      </c>
      <c r="E1935" s="435"/>
    </row>
    <row r="1936" spans="4:5">
      <c r="D1936" s="437" t="s">
        <v>5455</v>
      </c>
      <c r="E1936" s="435"/>
    </row>
    <row r="1937" spans="4:5">
      <c r="D1937" s="437" t="s">
        <v>5456</v>
      </c>
      <c r="E1937" s="435"/>
    </row>
    <row r="1938" spans="4:5">
      <c r="D1938" s="437" t="s">
        <v>5457</v>
      </c>
      <c r="E1938" s="435"/>
    </row>
    <row r="1939" spans="4:5">
      <c r="D1939" s="437" t="s">
        <v>5458</v>
      </c>
      <c r="E1939" s="435"/>
    </row>
    <row r="1940" spans="4:5">
      <c r="D1940" s="437" t="s">
        <v>5459</v>
      </c>
      <c r="E1940" s="435"/>
    </row>
    <row r="1941" spans="4:5">
      <c r="D1941" s="437" t="s">
        <v>5460</v>
      </c>
      <c r="E1941" s="435"/>
    </row>
    <row r="1942" spans="4:5">
      <c r="D1942" s="434" t="s">
        <v>5461</v>
      </c>
      <c r="E1942" s="435" t="s">
        <v>5462</v>
      </c>
    </row>
    <row r="1943" spans="4:5">
      <c r="D1943" s="437" t="s">
        <v>5463</v>
      </c>
      <c r="E1943" s="435"/>
    </row>
    <row r="1944" spans="4:5">
      <c r="D1944" s="437" t="s">
        <v>5464</v>
      </c>
      <c r="E1944" s="435"/>
    </row>
    <row r="1945" spans="4:5">
      <c r="D1945" s="437" t="s">
        <v>5465</v>
      </c>
      <c r="E1945" s="435"/>
    </row>
    <row r="1946" spans="4:5">
      <c r="D1946" s="434" t="s">
        <v>5466</v>
      </c>
      <c r="E1946" s="435" t="s">
        <v>5467</v>
      </c>
    </row>
    <row r="1947" spans="4:5">
      <c r="D1947" s="437" t="s">
        <v>5468</v>
      </c>
      <c r="E1947" s="435"/>
    </row>
    <row r="1948" spans="4:5">
      <c r="D1948" s="437" t="s">
        <v>5469</v>
      </c>
      <c r="E1948" s="435"/>
    </row>
    <row r="1949" spans="4:5">
      <c r="D1949" s="437" t="s">
        <v>5470</v>
      </c>
      <c r="E1949" s="435"/>
    </row>
    <row r="1950" spans="4:5">
      <c r="D1950" s="434" t="s">
        <v>1077</v>
      </c>
      <c r="E1950" s="435" t="s">
        <v>5471</v>
      </c>
    </row>
    <row r="1951" spans="4:5">
      <c r="D1951" s="437" t="s">
        <v>5472</v>
      </c>
      <c r="E1951" s="435"/>
    </row>
    <row r="1952" spans="4:5">
      <c r="D1952" s="434" t="s">
        <v>5473</v>
      </c>
      <c r="E1952" s="435" t="s">
        <v>5474</v>
      </c>
    </row>
    <row r="1953" spans="4:5">
      <c r="D1953" s="434" t="s">
        <v>5475</v>
      </c>
      <c r="E1953" s="435" t="s">
        <v>5474</v>
      </c>
    </row>
    <row r="1954" spans="4:5">
      <c r="D1954" s="437" t="s">
        <v>5476</v>
      </c>
      <c r="E1954" s="435"/>
    </row>
    <row r="1955" spans="4:5">
      <c r="D1955" s="437" t="s">
        <v>5477</v>
      </c>
      <c r="E1955" s="435"/>
    </row>
    <row r="1956" spans="4:5">
      <c r="D1956" s="434" t="s">
        <v>5478</v>
      </c>
      <c r="E1956" s="435" t="s">
        <v>5479</v>
      </c>
    </row>
    <row r="1957" spans="4:5">
      <c r="D1957" s="434" t="s">
        <v>5480</v>
      </c>
      <c r="E1957" s="435"/>
    </row>
    <row r="1958" spans="4:5">
      <c r="D1958" s="434" t="s">
        <v>5481</v>
      </c>
      <c r="E1958" s="435"/>
    </row>
    <row r="1959" spans="4:5">
      <c r="D1959" s="434" t="s">
        <v>5482</v>
      </c>
      <c r="E1959" s="435"/>
    </row>
    <row r="1960" spans="4:5">
      <c r="D1960" s="434" t="s">
        <v>5483</v>
      </c>
      <c r="E1960" s="435" t="s">
        <v>5484</v>
      </c>
    </row>
    <row r="1961" spans="4:5">
      <c r="D1961" s="437" t="s">
        <v>5485</v>
      </c>
      <c r="E1961" s="435"/>
    </row>
    <row r="1962" spans="4:5">
      <c r="D1962" s="434" t="s">
        <v>5486</v>
      </c>
      <c r="E1962" s="435" t="s">
        <v>5487</v>
      </c>
    </row>
    <row r="1963" spans="4:5">
      <c r="D1963" s="434" t="s">
        <v>5488</v>
      </c>
      <c r="E1963" s="435" t="s">
        <v>5487</v>
      </c>
    </row>
    <row r="1964" spans="4:5">
      <c r="D1964" s="437" t="s">
        <v>5489</v>
      </c>
      <c r="E1964" s="435"/>
    </row>
    <row r="1965" spans="4:5">
      <c r="D1965" s="437" t="s">
        <v>5490</v>
      </c>
      <c r="E1965" s="435"/>
    </row>
    <row r="1966" spans="4:5">
      <c r="D1966" s="434" t="s">
        <v>1075</v>
      </c>
      <c r="E1966" s="435" t="s">
        <v>5491</v>
      </c>
    </row>
    <row r="1967" spans="4:5">
      <c r="D1967" s="437" t="s">
        <v>5492</v>
      </c>
      <c r="E1967" s="435"/>
    </row>
    <row r="1968" spans="4:5">
      <c r="D1968" s="437" t="s">
        <v>5493</v>
      </c>
      <c r="E1968" s="435"/>
    </row>
    <row r="1969" spans="4:5">
      <c r="D1969" s="437" t="s">
        <v>5494</v>
      </c>
      <c r="E1969" s="435"/>
    </row>
    <row r="1970" spans="4:5">
      <c r="D1970" s="437" t="s">
        <v>5495</v>
      </c>
      <c r="E1970" s="435"/>
    </row>
    <row r="1971" spans="4:5">
      <c r="D1971" s="437" t="s">
        <v>5496</v>
      </c>
      <c r="E1971" s="435"/>
    </row>
    <row r="1972" spans="4:5">
      <c r="D1972" s="434" t="s">
        <v>5497</v>
      </c>
      <c r="E1972" s="435" t="s">
        <v>5498</v>
      </c>
    </row>
    <row r="1973" spans="4:5">
      <c r="D1973" s="434" t="s">
        <v>5499</v>
      </c>
      <c r="E1973" s="435" t="s">
        <v>5498</v>
      </c>
    </row>
    <row r="1974" spans="4:5">
      <c r="D1974" s="437" t="s">
        <v>5500</v>
      </c>
      <c r="E1974" s="435"/>
    </row>
    <row r="1975" spans="4:5">
      <c r="D1975" s="437" t="s">
        <v>5501</v>
      </c>
      <c r="E1975" s="435"/>
    </row>
    <row r="1976" spans="4:5">
      <c r="D1976" s="437" t="s">
        <v>5502</v>
      </c>
      <c r="E1976" s="435"/>
    </row>
    <row r="1977" spans="4:5">
      <c r="D1977" s="437" t="s">
        <v>5503</v>
      </c>
      <c r="E1977" s="435"/>
    </row>
    <row r="1978" spans="4:5">
      <c r="D1978" s="434" t="s">
        <v>5504</v>
      </c>
      <c r="E1978" s="435" t="s">
        <v>5505</v>
      </c>
    </row>
    <row r="1979" spans="4:5">
      <c r="D1979" s="437" t="s">
        <v>5506</v>
      </c>
      <c r="E1979" s="435"/>
    </row>
    <row r="1980" spans="4:5">
      <c r="D1980" s="437" t="s">
        <v>5507</v>
      </c>
      <c r="E1980" s="435"/>
    </row>
    <row r="1981" spans="4:5">
      <c r="D1981" s="437" t="s">
        <v>5508</v>
      </c>
      <c r="E1981" s="435"/>
    </row>
    <row r="1982" spans="4:5">
      <c r="D1982" s="437" t="s">
        <v>5509</v>
      </c>
      <c r="E1982" s="435"/>
    </row>
    <row r="1983" spans="4:5">
      <c r="D1983" s="434" t="s">
        <v>5510</v>
      </c>
      <c r="E1983" s="435" t="s">
        <v>5511</v>
      </c>
    </row>
    <row r="1984" spans="4:5">
      <c r="D1984" s="434" t="s">
        <v>5512</v>
      </c>
      <c r="E1984" s="435" t="s">
        <v>5511</v>
      </c>
    </row>
    <row r="1985" spans="4:5">
      <c r="D1985" s="437" t="s">
        <v>5513</v>
      </c>
      <c r="E1985" s="435"/>
    </row>
    <row r="1986" spans="4:5">
      <c r="D1986" s="434" t="s">
        <v>5514</v>
      </c>
      <c r="E1986" s="435" t="s">
        <v>5515</v>
      </c>
    </row>
    <row r="1987" spans="4:5">
      <c r="D1987" s="434" t="s">
        <v>658</v>
      </c>
      <c r="E1987" s="435" t="s">
        <v>5516</v>
      </c>
    </row>
    <row r="1988" spans="4:5">
      <c r="D1988" s="437" t="s">
        <v>5517</v>
      </c>
      <c r="E1988" s="435"/>
    </row>
    <row r="1989" spans="4:5">
      <c r="D1989" s="437" t="s">
        <v>5518</v>
      </c>
      <c r="E1989" s="435"/>
    </row>
    <row r="1990" spans="4:5">
      <c r="D1990" s="437" t="s">
        <v>5519</v>
      </c>
      <c r="E1990" s="435"/>
    </row>
    <row r="1991" spans="4:5">
      <c r="D1991" s="437" t="s">
        <v>5520</v>
      </c>
      <c r="E1991" s="435"/>
    </row>
    <row r="1992" spans="4:5">
      <c r="D1992" s="434" t="s">
        <v>5521</v>
      </c>
      <c r="E1992" s="435" t="s">
        <v>5522</v>
      </c>
    </row>
    <row r="1993" spans="4:5">
      <c r="D1993" s="434" t="s">
        <v>5523</v>
      </c>
      <c r="E1993" s="435" t="s">
        <v>5522</v>
      </c>
    </row>
    <row r="1994" spans="4:5">
      <c r="D1994" s="437" t="s">
        <v>5524</v>
      </c>
      <c r="E1994" s="435"/>
    </row>
    <row r="1995" spans="4:5">
      <c r="D1995" s="437" t="s">
        <v>5525</v>
      </c>
      <c r="E1995" s="435"/>
    </row>
    <row r="1996" spans="4:5">
      <c r="D1996" s="437" t="s">
        <v>5526</v>
      </c>
      <c r="E1996" s="435"/>
    </row>
    <row r="1997" spans="4:5">
      <c r="D1997" s="434" t="s">
        <v>5527</v>
      </c>
      <c r="E1997" s="435" t="s">
        <v>5528</v>
      </c>
    </row>
    <row r="1998" spans="4:5">
      <c r="D1998" s="434" t="s">
        <v>5529</v>
      </c>
      <c r="E1998" s="435" t="s">
        <v>5528</v>
      </c>
    </row>
    <row r="1999" spans="4:5">
      <c r="D1999" s="434" t="s">
        <v>5530</v>
      </c>
      <c r="E1999" s="435" t="s">
        <v>5531</v>
      </c>
    </row>
    <row r="2000" spans="4:5">
      <c r="D2000" s="434" t="s">
        <v>5532</v>
      </c>
      <c r="E2000" s="435" t="s">
        <v>5531</v>
      </c>
    </row>
    <row r="2001" spans="4:5">
      <c r="D2001" s="437" t="s">
        <v>5533</v>
      </c>
      <c r="E2001" s="435"/>
    </row>
    <row r="2002" spans="4:5">
      <c r="D2002" s="437" t="s">
        <v>5534</v>
      </c>
      <c r="E2002" s="435"/>
    </row>
    <row r="2003" spans="4:5">
      <c r="D2003" s="437" t="s">
        <v>5535</v>
      </c>
      <c r="E2003" s="435"/>
    </row>
    <row r="2004" spans="4:5">
      <c r="D2004" s="434" t="s">
        <v>5536</v>
      </c>
      <c r="E2004" s="435" t="s">
        <v>5537</v>
      </c>
    </row>
    <row r="2005" spans="4:5">
      <c r="D2005" s="437" t="s">
        <v>5538</v>
      </c>
      <c r="E2005" s="435"/>
    </row>
    <row r="2006" spans="4:5">
      <c r="D2006" s="434" t="s">
        <v>5539</v>
      </c>
      <c r="E2006" s="435" t="s">
        <v>5540</v>
      </c>
    </row>
    <row r="2007" spans="4:5">
      <c r="D2007" s="437" t="s">
        <v>5541</v>
      </c>
      <c r="E2007" s="435"/>
    </row>
    <row r="2008" spans="4:5">
      <c r="D2008" s="437" t="s">
        <v>5542</v>
      </c>
      <c r="E2008" s="435"/>
    </row>
    <row r="2009" spans="4:5">
      <c r="D2009" s="437" t="s">
        <v>5543</v>
      </c>
      <c r="E2009" s="435"/>
    </row>
    <row r="2010" spans="4:5">
      <c r="D2010" s="437" t="s">
        <v>5544</v>
      </c>
      <c r="E2010" s="435"/>
    </row>
    <row r="2011" spans="4:5">
      <c r="D2011" s="437" t="s">
        <v>5545</v>
      </c>
      <c r="E2011" s="435"/>
    </row>
    <row r="2012" spans="4:5">
      <c r="D2012" s="437" t="s">
        <v>5546</v>
      </c>
      <c r="E2012" s="435"/>
    </row>
    <row r="2013" spans="4:5">
      <c r="D2013" s="437" t="s">
        <v>5547</v>
      </c>
      <c r="E2013" s="435"/>
    </row>
    <row r="2014" spans="4:5">
      <c r="D2014" s="437" t="s">
        <v>5548</v>
      </c>
      <c r="E2014" s="435"/>
    </row>
    <row r="2015" spans="4:5">
      <c r="D2015" s="437" t="s">
        <v>5549</v>
      </c>
      <c r="E2015" s="435"/>
    </row>
    <row r="2016" spans="4:5">
      <c r="D2016" s="437" t="s">
        <v>5550</v>
      </c>
      <c r="E2016" s="435"/>
    </row>
    <row r="2017" spans="4:5">
      <c r="D2017" s="434" t="s">
        <v>5551</v>
      </c>
      <c r="E2017" s="435" t="s">
        <v>5552</v>
      </c>
    </row>
    <row r="2018" spans="4:5">
      <c r="D2018" s="437" t="s">
        <v>5553</v>
      </c>
      <c r="E2018" s="435"/>
    </row>
    <row r="2019" spans="4:5">
      <c r="D2019" s="437" t="s">
        <v>5554</v>
      </c>
      <c r="E2019" s="435"/>
    </row>
    <row r="2020" spans="4:5">
      <c r="D2020" s="434" t="s">
        <v>5555</v>
      </c>
      <c r="E2020" s="435" t="s">
        <v>5556</v>
      </c>
    </row>
    <row r="2021" spans="4:5">
      <c r="D2021" s="437" t="s">
        <v>5557</v>
      </c>
      <c r="E2021" s="435"/>
    </row>
    <row r="2022" spans="4:5">
      <c r="D2022" s="434" t="s">
        <v>5558</v>
      </c>
      <c r="E2022" s="435" t="s">
        <v>5559</v>
      </c>
    </row>
    <row r="2023" spans="4:5">
      <c r="D2023" s="437" t="s">
        <v>5560</v>
      </c>
      <c r="E2023" s="435"/>
    </row>
    <row r="2024" spans="4:5">
      <c r="D2024" s="434" t="s">
        <v>5561</v>
      </c>
      <c r="E2024" s="435" t="s">
        <v>5562</v>
      </c>
    </row>
    <row r="2025" spans="4:5">
      <c r="D2025" s="434" t="s">
        <v>5563</v>
      </c>
      <c r="E2025" s="435" t="s">
        <v>5562</v>
      </c>
    </row>
    <row r="2026" spans="4:5">
      <c r="D2026" s="437" t="s">
        <v>5564</v>
      </c>
      <c r="E2026" s="435"/>
    </row>
    <row r="2027" spans="4:5">
      <c r="D2027" s="434" t="s">
        <v>5565</v>
      </c>
      <c r="E2027" s="435" t="s">
        <v>5566</v>
      </c>
    </row>
    <row r="2028" spans="4:5">
      <c r="D2028" s="437" t="s">
        <v>5567</v>
      </c>
      <c r="E2028" s="435"/>
    </row>
    <row r="2029" spans="4:5">
      <c r="D2029" s="437" t="s">
        <v>5568</v>
      </c>
      <c r="E2029" s="435"/>
    </row>
    <row r="2030" spans="4:5">
      <c r="D2030" s="434" t="s">
        <v>5569</v>
      </c>
      <c r="E2030" s="435" t="s">
        <v>5570</v>
      </c>
    </row>
    <row r="2031" spans="4:5">
      <c r="D2031" s="434" t="s">
        <v>5571</v>
      </c>
      <c r="E2031" s="435" t="s">
        <v>5570</v>
      </c>
    </row>
    <row r="2032" spans="4:5">
      <c r="D2032" s="434" t="s">
        <v>5572</v>
      </c>
      <c r="E2032" s="435"/>
    </row>
    <row r="2033" spans="4:5">
      <c r="D2033" s="434" t="s">
        <v>5573</v>
      </c>
      <c r="E2033" s="435" t="s">
        <v>5574</v>
      </c>
    </row>
    <row r="2034" spans="4:5">
      <c r="D2034" s="437" t="s">
        <v>5575</v>
      </c>
      <c r="E2034" s="435"/>
    </row>
    <row r="2035" spans="4:5">
      <c r="D2035" s="437" t="s">
        <v>5576</v>
      </c>
      <c r="E2035" s="435"/>
    </row>
    <row r="2036" spans="4:5">
      <c r="D2036" s="437" t="s">
        <v>5577</v>
      </c>
      <c r="E2036" s="435"/>
    </row>
    <row r="2037" spans="4:5">
      <c r="D2037" s="437" t="s">
        <v>5578</v>
      </c>
      <c r="E2037" s="435"/>
    </row>
    <row r="2038" spans="4:5">
      <c r="D2038" s="434" t="s">
        <v>5579</v>
      </c>
      <c r="E2038" s="435"/>
    </row>
    <row r="2039" spans="4:5">
      <c r="D2039" s="434" t="s">
        <v>5580</v>
      </c>
      <c r="E2039" s="435" t="s">
        <v>5581</v>
      </c>
    </row>
    <row r="2040" spans="4:5">
      <c r="D2040" s="434" t="s">
        <v>5582</v>
      </c>
      <c r="E2040" s="435" t="s">
        <v>5581</v>
      </c>
    </row>
    <row r="2041" spans="4:5">
      <c r="D2041" s="434" t="s">
        <v>5583</v>
      </c>
      <c r="E2041" s="435" t="s">
        <v>5584</v>
      </c>
    </row>
    <row r="2042" spans="4:5">
      <c r="D2042" s="437" t="s">
        <v>5585</v>
      </c>
      <c r="E2042" s="435"/>
    </row>
    <row r="2043" spans="4:5">
      <c r="D2043" s="437" t="s">
        <v>5586</v>
      </c>
      <c r="E2043" s="435"/>
    </row>
    <row r="2044" spans="4:5">
      <c r="D2044" s="437" t="s">
        <v>5587</v>
      </c>
      <c r="E2044" s="435"/>
    </row>
    <row r="2045" spans="4:5">
      <c r="D2045" s="434" t="s">
        <v>5588</v>
      </c>
      <c r="E2045" s="435" t="s">
        <v>5589</v>
      </c>
    </row>
    <row r="2046" spans="4:5">
      <c r="D2046" s="434" t="s">
        <v>5590</v>
      </c>
      <c r="E2046" s="435" t="s">
        <v>5591</v>
      </c>
    </row>
    <row r="2047" spans="4:5">
      <c r="D2047" s="437" t="s">
        <v>5592</v>
      </c>
      <c r="E2047" s="435"/>
    </row>
    <row r="2048" spans="4:5">
      <c r="D2048" s="437" t="s">
        <v>5593</v>
      </c>
      <c r="E2048" s="435"/>
    </row>
    <row r="2049" spans="4:5">
      <c r="D2049" s="437" t="s">
        <v>5594</v>
      </c>
      <c r="E2049" s="435"/>
    </row>
    <row r="2050" spans="4:5">
      <c r="D2050" s="437" t="s">
        <v>5595</v>
      </c>
      <c r="E2050" s="435"/>
    </row>
    <row r="2051" spans="4:5">
      <c r="D2051" s="437" t="s">
        <v>5596</v>
      </c>
      <c r="E2051" s="435"/>
    </row>
    <row r="2052" spans="4:5">
      <c r="D2052" s="437" t="s">
        <v>5597</v>
      </c>
      <c r="E2052" s="435"/>
    </row>
    <row r="2053" spans="4:5">
      <c r="D2053" s="434" t="s">
        <v>5598</v>
      </c>
      <c r="E2053" s="435" t="s">
        <v>5599</v>
      </c>
    </row>
    <row r="2054" spans="4:5">
      <c r="D2054" s="437" t="s">
        <v>5600</v>
      </c>
      <c r="E2054" s="435"/>
    </row>
    <row r="2055" spans="4:5">
      <c r="D2055" s="437" t="s">
        <v>5601</v>
      </c>
      <c r="E2055" s="435"/>
    </row>
    <row r="2056" spans="4:5">
      <c r="D2056" s="434" t="s">
        <v>5602</v>
      </c>
      <c r="E2056" s="435" t="s">
        <v>5603</v>
      </c>
    </row>
    <row r="2057" spans="4:5">
      <c r="D2057" s="437" t="s">
        <v>5604</v>
      </c>
      <c r="E2057" s="435"/>
    </row>
    <row r="2058" spans="4:5">
      <c r="D2058" s="437" t="s">
        <v>5605</v>
      </c>
      <c r="E2058" s="435"/>
    </row>
    <row r="2059" spans="4:5">
      <c r="D2059" s="434" t="s">
        <v>5606</v>
      </c>
      <c r="E2059" s="435" t="s">
        <v>5607</v>
      </c>
    </row>
    <row r="2060" spans="4:5">
      <c r="D2060" s="434" t="s">
        <v>5608</v>
      </c>
      <c r="E2060" s="435" t="s">
        <v>5609</v>
      </c>
    </row>
    <row r="2061" spans="4:5">
      <c r="D2061" s="437" t="s">
        <v>5610</v>
      </c>
      <c r="E2061" s="435"/>
    </row>
    <row r="2062" spans="4:5">
      <c r="D2062" s="437" t="s">
        <v>5611</v>
      </c>
      <c r="E2062" s="435"/>
    </row>
    <row r="2063" spans="4:5">
      <c r="D2063" s="437" t="s">
        <v>5612</v>
      </c>
      <c r="E2063" s="435"/>
    </row>
    <row r="2064" spans="4:5">
      <c r="D2064" s="434" t="s">
        <v>5613</v>
      </c>
      <c r="E2064" s="435" t="s">
        <v>5614</v>
      </c>
    </row>
    <row r="2065" spans="4:5">
      <c r="D2065" s="434" t="s">
        <v>5615</v>
      </c>
      <c r="E2065" s="435" t="s">
        <v>5614</v>
      </c>
    </row>
    <row r="2066" spans="4:5">
      <c r="D2066" s="437" t="s">
        <v>5616</v>
      </c>
      <c r="E2066" s="435"/>
    </row>
    <row r="2067" spans="4:5">
      <c r="D2067" s="434" t="s">
        <v>5617</v>
      </c>
      <c r="E2067" s="435" t="s">
        <v>5618</v>
      </c>
    </row>
    <row r="2068" spans="4:5">
      <c r="D2068" s="434" t="s">
        <v>5619</v>
      </c>
      <c r="E2068" s="435" t="s">
        <v>5618</v>
      </c>
    </row>
    <row r="2069" spans="4:5">
      <c r="D2069" s="437" t="s">
        <v>5620</v>
      </c>
      <c r="E2069" s="435"/>
    </row>
    <row r="2070" spans="4:5">
      <c r="D2070" s="437" t="s">
        <v>5621</v>
      </c>
      <c r="E2070" s="435"/>
    </row>
    <row r="2071" spans="4:5">
      <c r="D2071" s="437" t="s">
        <v>5622</v>
      </c>
      <c r="E2071" s="435"/>
    </row>
    <row r="2072" spans="4:5">
      <c r="D2072" s="437" t="s">
        <v>5623</v>
      </c>
      <c r="E2072" s="435"/>
    </row>
    <row r="2073" spans="4:5">
      <c r="D2073" s="437" t="s">
        <v>5624</v>
      </c>
      <c r="E2073" s="435"/>
    </row>
    <row r="2074" spans="4:5">
      <c r="D2074" s="434" t="s">
        <v>5625</v>
      </c>
      <c r="E2074" s="435" t="s">
        <v>5626</v>
      </c>
    </row>
    <row r="2075" spans="4:5">
      <c r="D2075" s="437" t="s">
        <v>5627</v>
      </c>
      <c r="E2075" s="435"/>
    </row>
    <row r="2076" spans="4:5">
      <c r="D2076" s="437" t="s">
        <v>5628</v>
      </c>
      <c r="E2076" s="435"/>
    </row>
    <row r="2077" spans="4:5">
      <c r="D2077" s="434" t="s">
        <v>5629</v>
      </c>
      <c r="E2077" s="435" t="s">
        <v>5630</v>
      </c>
    </row>
    <row r="2078" spans="4:5">
      <c r="D2078" s="437" t="s">
        <v>5631</v>
      </c>
      <c r="E2078" s="435"/>
    </row>
    <row r="2079" spans="4:5">
      <c r="D2079" s="437" t="s">
        <v>5632</v>
      </c>
      <c r="E2079" s="435"/>
    </row>
    <row r="2080" spans="4:5">
      <c r="D2080" s="434" t="s">
        <v>5633</v>
      </c>
      <c r="E2080" s="435" t="s">
        <v>5634</v>
      </c>
    </row>
    <row r="2081" spans="4:5">
      <c r="D2081" s="437" t="s">
        <v>5635</v>
      </c>
      <c r="E2081" s="435"/>
    </row>
    <row r="2082" spans="4:5">
      <c r="D2082" s="437" t="s">
        <v>5636</v>
      </c>
      <c r="E2082" s="435"/>
    </row>
    <row r="2083" spans="4:5">
      <c r="D2083" s="437" t="s">
        <v>5637</v>
      </c>
      <c r="E2083" s="435"/>
    </row>
    <row r="2084" spans="4:5">
      <c r="D2084" s="437" t="s">
        <v>5638</v>
      </c>
      <c r="E2084" s="435"/>
    </row>
    <row r="2085" spans="4:5">
      <c r="D2085" s="437" t="s">
        <v>5639</v>
      </c>
      <c r="E2085" s="435"/>
    </row>
    <row r="2086" spans="4:5">
      <c r="D2086" s="437" t="s">
        <v>5640</v>
      </c>
      <c r="E2086" s="435"/>
    </row>
    <row r="2087" spans="4:5">
      <c r="D2087" s="437" t="s">
        <v>5641</v>
      </c>
      <c r="E2087" s="435"/>
    </row>
    <row r="2088" spans="4:5">
      <c r="D2088" s="437" t="s">
        <v>5642</v>
      </c>
      <c r="E2088" s="435"/>
    </row>
    <row r="2089" spans="4:5">
      <c r="D2089" s="434" t="s">
        <v>5643</v>
      </c>
      <c r="E2089" s="435" t="s">
        <v>5644</v>
      </c>
    </row>
    <row r="2090" spans="4:5">
      <c r="D2090" s="437" t="s">
        <v>5645</v>
      </c>
      <c r="E2090" s="435"/>
    </row>
    <row r="2091" spans="4:5">
      <c r="D2091" s="437" t="s">
        <v>5646</v>
      </c>
      <c r="E2091" s="435"/>
    </row>
    <row r="2092" spans="4:5">
      <c r="D2092" s="434" t="s">
        <v>5647</v>
      </c>
      <c r="E2092" s="435" t="s">
        <v>5648</v>
      </c>
    </row>
    <row r="2093" spans="4:5">
      <c r="D2093" s="437" t="s">
        <v>5649</v>
      </c>
      <c r="E2093" s="435"/>
    </row>
    <row r="2094" spans="4:5">
      <c r="D2094" s="434" t="s">
        <v>5650</v>
      </c>
      <c r="E2094" s="435"/>
    </row>
    <row r="2095" spans="4:5">
      <c r="D2095" s="437" t="s">
        <v>5651</v>
      </c>
      <c r="E2095" s="435"/>
    </row>
    <row r="2096" spans="4:5">
      <c r="D2096" s="434" t="s">
        <v>589</v>
      </c>
      <c r="E2096" s="435" t="s">
        <v>5652</v>
      </c>
    </row>
    <row r="2097" spans="4:5">
      <c r="D2097" s="437" t="s">
        <v>5653</v>
      </c>
      <c r="E2097" s="435"/>
    </row>
    <row r="2098" spans="4:5">
      <c r="D2098" s="437" t="s">
        <v>5654</v>
      </c>
      <c r="E2098" s="435"/>
    </row>
    <row r="2099" spans="4:5">
      <c r="D2099" s="437" t="s">
        <v>5655</v>
      </c>
      <c r="E2099" s="435"/>
    </row>
    <row r="2100" spans="4:5">
      <c r="D2100" s="437" t="s">
        <v>5656</v>
      </c>
      <c r="E2100" s="435"/>
    </row>
    <row r="2101" spans="4:5">
      <c r="D2101" s="437" t="s">
        <v>5657</v>
      </c>
      <c r="E2101" s="435"/>
    </row>
    <row r="2102" spans="4:5">
      <c r="D2102" s="437" t="s">
        <v>5658</v>
      </c>
      <c r="E2102" s="435"/>
    </row>
    <row r="2103" spans="4:5">
      <c r="D2103" s="437" t="s">
        <v>5659</v>
      </c>
      <c r="E2103" s="435"/>
    </row>
    <row r="2104" spans="4:5">
      <c r="D2104" s="434" t="s">
        <v>5660</v>
      </c>
      <c r="E2104" s="435" t="s">
        <v>5661</v>
      </c>
    </row>
    <row r="2105" spans="4:5">
      <c r="D2105" s="437" t="s">
        <v>5662</v>
      </c>
      <c r="E2105" s="435"/>
    </row>
    <row r="2106" spans="4:5">
      <c r="D2106" s="437" t="s">
        <v>5663</v>
      </c>
      <c r="E2106" s="435"/>
    </row>
    <row r="2107" spans="4:5">
      <c r="D2107" s="437" t="s">
        <v>5664</v>
      </c>
      <c r="E2107" s="435"/>
    </row>
    <row r="2108" spans="4:5">
      <c r="D2108" s="434" t="s">
        <v>5665</v>
      </c>
      <c r="E2108" s="435" t="s">
        <v>5666</v>
      </c>
    </row>
    <row r="2109" spans="4:5">
      <c r="D2109" s="437" t="s">
        <v>5667</v>
      </c>
      <c r="E2109" s="435"/>
    </row>
    <row r="2110" spans="4:5">
      <c r="D2110" s="437" t="s">
        <v>5668</v>
      </c>
      <c r="E2110" s="435"/>
    </row>
    <row r="2111" spans="4:5">
      <c r="D2111" s="437" t="s">
        <v>5669</v>
      </c>
      <c r="E2111" s="435"/>
    </row>
    <row r="2112" spans="4:5">
      <c r="D2112" s="434" t="s">
        <v>5670</v>
      </c>
      <c r="E2112" s="435"/>
    </row>
    <row r="2113" spans="4:5">
      <c r="D2113" s="434" t="s">
        <v>5671</v>
      </c>
      <c r="E2113" s="435" t="s">
        <v>5672</v>
      </c>
    </row>
    <row r="2114" spans="4:5">
      <c r="D2114" s="437" t="s">
        <v>5673</v>
      </c>
      <c r="E2114" s="435"/>
    </row>
    <row r="2115" spans="4:5">
      <c r="D2115" s="434" t="s">
        <v>664</v>
      </c>
      <c r="E2115" s="435" t="s">
        <v>5674</v>
      </c>
    </row>
    <row r="2116" spans="4:5">
      <c r="D2116" s="437" t="s">
        <v>5675</v>
      </c>
      <c r="E2116" s="435"/>
    </row>
    <row r="2117" spans="4:5">
      <c r="D2117" s="434" t="s">
        <v>5676</v>
      </c>
      <c r="E2117" s="435" t="s">
        <v>5677</v>
      </c>
    </row>
    <row r="2118" spans="4:5">
      <c r="D2118" s="437" t="s">
        <v>5678</v>
      </c>
      <c r="E2118" s="435"/>
    </row>
    <row r="2119" spans="4:5">
      <c r="D2119" s="434" t="s">
        <v>5679</v>
      </c>
      <c r="E2119" s="435" t="s">
        <v>5680</v>
      </c>
    </row>
    <row r="2120" spans="4:5">
      <c r="D2120" s="434" t="s">
        <v>5681</v>
      </c>
      <c r="E2120" s="435" t="s">
        <v>5682</v>
      </c>
    </row>
    <row r="2121" spans="4:5">
      <c r="D2121" s="437" t="s">
        <v>5683</v>
      </c>
      <c r="E2121" s="435"/>
    </row>
    <row r="2122" spans="4:5">
      <c r="D2122" s="437" t="s">
        <v>5684</v>
      </c>
      <c r="E2122" s="435"/>
    </row>
    <row r="2123" spans="4:5">
      <c r="D2123" s="434" t="s">
        <v>5685</v>
      </c>
      <c r="E2123" s="435" t="s">
        <v>5686</v>
      </c>
    </row>
    <row r="2124" spans="4:5">
      <c r="D2124" s="434" t="s">
        <v>5687</v>
      </c>
      <c r="E2124" s="435" t="s">
        <v>5686</v>
      </c>
    </row>
    <row r="2125" spans="4:5">
      <c r="D2125" s="437" t="s">
        <v>5688</v>
      </c>
      <c r="E2125" s="435"/>
    </row>
    <row r="2126" spans="4:5">
      <c r="D2126" s="437" t="s">
        <v>5689</v>
      </c>
      <c r="E2126" s="435"/>
    </row>
    <row r="2127" spans="4:5">
      <c r="D2127" s="434" t="s">
        <v>5690</v>
      </c>
      <c r="E2127" s="435" t="s">
        <v>5691</v>
      </c>
    </row>
    <row r="2128" spans="4:5">
      <c r="D2128" s="434" t="s">
        <v>5692</v>
      </c>
      <c r="E2128" s="435" t="s">
        <v>5691</v>
      </c>
    </row>
    <row r="2129" spans="4:5">
      <c r="D2129" s="437" t="s">
        <v>5693</v>
      </c>
      <c r="E2129" s="435"/>
    </row>
    <row r="2130" spans="4:5">
      <c r="D2130" s="437" t="s">
        <v>5694</v>
      </c>
      <c r="E2130" s="435"/>
    </row>
    <row r="2131" spans="4:5">
      <c r="D2131" s="434" t="s">
        <v>5695</v>
      </c>
      <c r="E2131" s="435" t="s">
        <v>5691</v>
      </c>
    </row>
    <row r="2132" spans="4:5">
      <c r="D2132" s="437" t="s">
        <v>5696</v>
      </c>
      <c r="E2132" s="435"/>
    </row>
    <row r="2133" spans="4:5">
      <c r="D2133" s="437" t="s">
        <v>5697</v>
      </c>
      <c r="E2133" s="435"/>
    </row>
    <row r="2134" spans="4:5">
      <c r="D2134" s="437" t="s">
        <v>5698</v>
      </c>
      <c r="E2134" s="435"/>
    </row>
    <row r="2135" spans="4:5">
      <c r="D2135" s="437" t="s">
        <v>5699</v>
      </c>
      <c r="E2135" s="435"/>
    </row>
    <row r="2136" spans="4:5">
      <c r="D2136" s="437" t="s">
        <v>5700</v>
      </c>
      <c r="E2136" s="435"/>
    </row>
    <row r="2137" spans="4:5">
      <c r="D2137" s="437" t="s">
        <v>5701</v>
      </c>
      <c r="E2137" s="435"/>
    </row>
    <row r="2138" spans="4:5">
      <c r="D2138" s="434" t="s">
        <v>5702</v>
      </c>
      <c r="E2138" s="435" t="s">
        <v>5703</v>
      </c>
    </row>
    <row r="2139" spans="4:5">
      <c r="D2139" s="434" t="s">
        <v>5704</v>
      </c>
      <c r="E2139" s="435" t="s">
        <v>5703</v>
      </c>
    </row>
    <row r="2140" spans="4:5">
      <c r="D2140" s="434" t="s">
        <v>5705</v>
      </c>
      <c r="E2140" s="435" t="s">
        <v>5706</v>
      </c>
    </row>
    <row r="2141" spans="4:5">
      <c r="D2141" s="437" t="s">
        <v>5707</v>
      </c>
      <c r="E2141" s="435"/>
    </row>
    <row r="2142" spans="4:5">
      <c r="D2142" s="437" t="s">
        <v>5708</v>
      </c>
      <c r="E2142" s="435"/>
    </row>
    <row r="2143" spans="4:5">
      <c r="D2143" s="434" t="s">
        <v>5709</v>
      </c>
      <c r="E2143" s="435" t="s">
        <v>5710</v>
      </c>
    </row>
    <row r="2144" spans="4:5">
      <c r="D2144" s="437" t="s">
        <v>5711</v>
      </c>
      <c r="E2144" s="435"/>
    </row>
    <row r="2145" spans="4:5">
      <c r="D2145" s="437" t="s">
        <v>5712</v>
      </c>
      <c r="E2145" s="435"/>
    </row>
    <row r="2146" spans="4:5">
      <c r="D2146" s="434" t="s">
        <v>5713</v>
      </c>
      <c r="E2146" s="435" t="s">
        <v>5714</v>
      </c>
    </row>
    <row r="2147" spans="4:5">
      <c r="D2147" s="434" t="s">
        <v>5715</v>
      </c>
      <c r="E2147" s="435" t="s">
        <v>5714</v>
      </c>
    </row>
    <row r="2148" spans="4:5">
      <c r="D2148" s="437" t="s">
        <v>5716</v>
      </c>
      <c r="E2148" s="435"/>
    </row>
    <row r="2149" spans="4:5">
      <c r="D2149" s="434" t="s">
        <v>5717</v>
      </c>
      <c r="E2149" s="435" t="s">
        <v>5714</v>
      </c>
    </row>
    <row r="2150" spans="4:5">
      <c r="D2150" s="437" t="s">
        <v>5718</v>
      </c>
      <c r="E2150" s="435"/>
    </row>
    <row r="2151" spans="4:5">
      <c r="D2151" s="437" t="s">
        <v>5719</v>
      </c>
      <c r="E2151" s="435"/>
    </row>
    <row r="2152" spans="4:5">
      <c r="D2152" s="437" t="s">
        <v>5720</v>
      </c>
      <c r="E2152" s="435"/>
    </row>
    <row r="2153" spans="4:5">
      <c r="D2153" s="434" t="s">
        <v>5721</v>
      </c>
      <c r="E2153" s="435" t="s">
        <v>5722</v>
      </c>
    </row>
    <row r="2154" spans="4:5">
      <c r="D2154" s="437" t="s">
        <v>5723</v>
      </c>
      <c r="E2154" s="435"/>
    </row>
    <row r="2155" spans="4:5">
      <c r="D2155" s="434" t="s">
        <v>5724</v>
      </c>
      <c r="E2155" s="435" t="s">
        <v>5725</v>
      </c>
    </row>
    <row r="2156" spans="4:5">
      <c r="D2156" s="434" t="s">
        <v>5726</v>
      </c>
      <c r="E2156" s="435" t="s">
        <v>5727</v>
      </c>
    </row>
    <row r="2157" spans="4:5">
      <c r="D2157" s="437" t="s">
        <v>5728</v>
      </c>
      <c r="E2157" s="435"/>
    </row>
    <row r="2158" spans="4:5">
      <c r="D2158" s="437" t="s">
        <v>5729</v>
      </c>
      <c r="E2158" s="435"/>
    </row>
    <row r="2159" spans="4:5">
      <c r="D2159" s="437" t="s">
        <v>5730</v>
      </c>
      <c r="E2159" s="435"/>
    </row>
    <row r="2160" spans="4:5">
      <c r="D2160" s="437" t="s">
        <v>5731</v>
      </c>
      <c r="E2160" s="435"/>
    </row>
    <row r="2161" spans="4:5">
      <c r="D2161" s="434" t="s">
        <v>5732</v>
      </c>
      <c r="E2161" s="435" t="s">
        <v>5733</v>
      </c>
    </row>
    <row r="2162" spans="4:5">
      <c r="D2162" s="437" t="s">
        <v>5734</v>
      </c>
      <c r="E2162" s="435"/>
    </row>
    <row r="2163" spans="4:5">
      <c r="D2163" s="437" t="s">
        <v>5735</v>
      </c>
      <c r="E2163" s="435"/>
    </row>
    <row r="2164" spans="4:5">
      <c r="D2164" s="437" t="s">
        <v>5736</v>
      </c>
      <c r="E2164" s="435"/>
    </row>
    <row r="2165" spans="4:5">
      <c r="D2165" s="437" t="s">
        <v>5737</v>
      </c>
      <c r="E2165" s="435"/>
    </row>
    <row r="2166" spans="4:5">
      <c r="D2166" s="437" t="s">
        <v>5738</v>
      </c>
      <c r="E2166" s="435"/>
    </row>
    <row r="2167" spans="4:5">
      <c r="D2167" s="434" t="s">
        <v>5739</v>
      </c>
      <c r="E2167" s="435" t="s">
        <v>5740</v>
      </c>
    </row>
    <row r="2168" spans="4:5">
      <c r="D2168" s="437" t="s">
        <v>5741</v>
      </c>
      <c r="E2168" s="435"/>
    </row>
    <row r="2169" spans="4:5">
      <c r="D2169" s="437" t="s">
        <v>5742</v>
      </c>
      <c r="E2169" s="435"/>
    </row>
    <row r="2170" spans="4:5">
      <c r="D2170" s="437" t="s">
        <v>5743</v>
      </c>
      <c r="E2170" s="435"/>
    </row>
    <row r="2171" spans="4:5">
      <c r="D2171" s="434" t="s">
        <v>5744</v>
      </c>
      <c r="E2171" s="435" t="s">
        <v>5745</v>
      </c>
    </row>
    <row r="2172" spans="4:5">
      <c r="D2172" s="437" t="s">
        <v>5746</v>
      </c>
      <c r="E2172" s="435"/>
    </row>
    <row r="2173" spans="4:5">
      <c r="D2173" s="437" t="s">
        <v>5747</v>
      </c>
      <c r="E2173" s="435"/>
    </row>
    <row r="2174" spans="4:5">
      <c r="D2174" s="437" t="s">
        <v>5748</v>
      </c>
      <c r="E2174" s="435"/>
    </row>
    <row r="2175" spans="4:5">
      <c r="D2175" s="437" t="s">
        <v>5749</v>
      </c>
      <c r="E2175" s="435"/>
    </row>
    <row r="2176" spans="4:5">
      <c r="D2176" s="434" t="s">
        <v>5750</v>
      </c>
      <c r="E2176" s="435" t="s">
        <v>5751</v>
      </c>
    </row>
    <row r="2177" spans="4:5">
      <c r="D2177" s="437" t="s">
        <v>5752</v>
      </c>
      <c r="E2177" s="435"/>
    </row>
    <row r="2178" spans="4:5">
      <c r="D2178" s="434" t="s">
        <v>5753</v>
      </c>
      <c r="E2178" s="435" t="s">
        <v>5754</v>
      </c>
    </row>
    <row r="2179" spans="4:5">
      <c r="D2179" s="434" t="s">
        <v>5755</v>
      </c>
      <c r="E2179" s="435" t="s">
        <v>5756</v>
      </c>
    </row>
    <row r="2180" spans="4:5">
      <c r="D2180" s="434" t="s">
        <v>5757</v>
      </c>
      <c r="E2180" s="435" t="s">
        <v>5756</v>
      </c>
    </row>
    <row r="2181" spans="4:5">
      <c r="D2181" s="437" t="s">
        <v>5758</v>
      </c>
      <c r="E2181" s="435"/>
    </row>
    <row r="2182" spans="4:5">
      <c r="D2182" s="437" t="s">
        <v>5759</v>
      </c>
      <c r="E2182" s="435"/>
    </row>
    <row r="2183" spans="4:5">
      <c r="D2183" s="437" t="s">
        <v>5760</v>
      </c>
      <c r="E2183" s="435"/>
    </row>
    <row r="2184" spans="4:5">
      <c r="D2184" s="434" t="s">
        <v>5761</v>
      </c>
      <c r="E2184" s="435" t="s">
        <v>5762</v>
      </c>
    </row>
    <row r="2185" spans="4:5">
      <c r="D2185" s="434" t="s">
        <v>5763</v>
      </c>
      <c r="E2185" s="435" t="s">
        <v>5762</v>
      </c>
    </row>
    <row r="2186" spans="4:5">
      <c r="D2186" s="437" t="s">
        <v>5764</v>
      </c>
      <c r="E2186" s="435"/>
    </row>
    <row r="2187" spans="4:5">
      <c r="D2187" s="437" t="s">
        <v>5765</v>
      </c>
      <c r="E2187" s="435"/>
    </row>
    <row r="2188" spans="4:5">
      <c r="D2188" s="437" t="s">
        <v>5766</v>
      </c>
      <c r="E2188" s="435"/>
    </row>
    <row r="2189" spans="4:5">
      <c r="D2189" s="437" t="s">
        <v>5767</v>
      </c>
      <c r="E2189" s="435"/>
    </row>
    <row r="2190" spans="4:5">
      <c r="D2190" s="434" t="s">
        <v>5768</v>
      </c>
      <c r="E2190" s="435" t="s">
        <v>5769</v>
      </c>
    </row>
    <row r="2191" spans="4:5">
      <c r="D2191" s="437" t="s">
        <v>5770</v>
      </c>
      <c r="E2191" s="435"/>
    </row>
    <row r="2192" spans="4:5">
      <c r="D2192" s="437" t="s">
        <v>5771</v>
      </c>
      <c r="E2192" s="435"/>
    </row>
    <row r="2193" spans="4:5">
      <c r="D2193" s="437" t="s">
        <v>5772</v>
      </c>
      <c r="E2193" s="435"/>
    </row>
    <row r="2194" spans="4:5">
      <c r="D2194" s="437" t="s">
        <v>5773</v>
      </c>
      <c r="E2194" s="435"/>
    </row>
    <row r="2195" spans="4:5">
      <c r="D2195" s="437" t="s">
        <v>5774</v>
      </c>
      <c r="E2195" s="435"/>
    </row>
    <row r="2196" spans="4:5">
      <c r="D2196" s="437" t="s">
        <v>5775</v>
      </c>
      <c r="E2196" s="435"/>
    </row>
    <row r="2197" spans="4:5">
      <c r="D2197" s="437" t="s">
        <v>5776</v>
      </c>
      <c r="E2197" s="435"/>
    </row>
    <row r="2198" spans="4:5">
      <c r="D2198" s="437" t="s">
        <v>5777</v>
      </c>
      <c r="E2198" s="435"/>
    </row>
    <row r="2199" spans="4:5">
      <c r="D2199" s="437" t="s">
        <v>5778</v>
      </c>
      <c r="E2199" s="435"/>
    </row>
    <row r="2200" spans="4:5">
      <c r="D2200" s="437" t="s">
        <v>5779</v>
      </c>
      <c r="E2200" s="435"/>
    </row>
    <row r="2201" spans="4:5">
      <c r="D2201" s="437" t="s">
        <v>5780</v>
      </c>
      <c r="E2201" s="435"/>
    </row>
    <row r="2202" spans="4:5">
      <c r="D2202" s="434" t="s">
        <v>5781</v>
      </c>
      <c r="E2202" s="435" t="s">
        <v>5782</v>
      </c>
    </row>
    <row r="2203" spans="4:5">
      <c r="D2203" s="434" t="s">
        <v>5783</v>
      </c>
      <c r="E2203" s="435" t="s">
        <v>5782</v>
      </c>
    </row>
    <row r="2204" spans="4:5">
      <c r="D2204" s="437" t="s">
        <v>5784</v>
      </c>
      <c r="E2204" s="435"/>
    </row>
    <row r="2205" spans="4:5">
      <c r="D2205" s="437" t="s">
        <v>5785</v>
      </c>
      <c r="E2205" s="435"/>
    </row>
    <row r="2206" spans="4:5">
      <c r="D2206" s="437" t="s">
        <v>5786</v>
      </c>
      <c r="E2206" s="435"/>
    </row>
    <row r="2207" spans="4:5">
      <c r="D2207" s="437" t="s">
        <v>5787</v>
      </c>
      <c r="E2207" s="435"/>
    </row>
    <row r="2208" spans="4:5">
      <c r="D2208" s="437" t="s">
        <v>5788</v>
      </c>
      <c r="E2208" s="435"/>
    </row>
    <row r="2209" spans="4:5">
      <c r="D2209" s="437" t="s">
        <v>5789</v>
      </c>
      <c r="E2209" s="435"/>
    </row>
    <row r="2210" spans="4:5">
      <c r="D2210" s="437" t="s">
        <v>5790</v>
      </c>
      <c r="E2210" s="435"/>
    </row>
    <row r="2211" spans="4:5">
      <c r="D2211" s="437" t="s">
        <v>5791</v>
      </c>
      <c r="E2211" s="435"/>
    </row>
    <row r="2212" spans="4:5">
      <c r="D2212" s="434" t="s">
        <v>5792</v>
      </c>
      <c r="E2212" s="435" t="s">
        <v>5782</v>
      </c>
    </row>
    <row r="2213" spans="4:5">
      <c r="D2213" s="437" t="s">
        <v>5793</v>
      </c>
      <c r="E2213" s="435"/>
    </row>
    <row r="2214" spans="4:5">
      <c r="D2214" s="437" t="s">
        <v>5794</v>
      </c>
      <c r="E2214" s="435"/>
    </row>
    <row r="2215" spans="4:5">
      <c r="D2215" s="434" t="s">
        <v>5795</v>
      </c>
      <c r="E2215" s="435" t="s">
        <v>5796</v>
      </c>
    </row>
    <row r="2216" spans="4:5">
      <c r="D2216" s="434" t="s">
        <v>5797</v>
      </c>
      <c r="E2216" s="435" t="s">
        <v>5796</v>
      </c>
    </row>
    <row r="2217" spans="4:5">
      <c r="D2217" s="437" t="s">
        <v>5798</v>
      </c>
      <c r="E2217" s="435"/>
    </row>
    <row r="2218" spans="4:5">
      <c r="D2218" s="437" t="s">
        <v>5799</v>
      </c>
      <c r="E2218" s="435"/>
    </row>
    <row r="2219" spans="4:5">
      <c r="D2219" s="434" t="s">
        <v>5800</v>
      </c>
      <c r="E2219" s="435" t="s">
        <v>5801</v>
      </c>
    </row>
    <row r="2220" spans="4:5">
      <c r="D2220" s="437" t="s">
        <v>5802</v>
      </c>
      <c r="E2220" s="435"/>
    </row>
    <row r="2221" spans="4:5">
      <c r="D2221" s="437" t="s">
        <v>5803</v>
      </c>
      <c r="E2221" s="435"/>
    </row>
    <row r="2222" spans="4:5">
      <c r="D2222" s="437" t="s">
        <v>5804</v>
      </c>
      <c r="E2222" s="435"/>
    </row>
    <row r="2223" spans="4:5">
      <c r="D2223" s="437" t="s">
        <v>5805</v>
      </c>
      <c r="E2223" s="435"/>
    </row>
    <row r="2224" spans="4:5">
      <c r="D2224" s="434" t="s">
        <v>669</v>
      </c>
      <c r="E2224" s="435" t="s">
        <v>5806</v>
      </c>
    </row>
    <row r="2225" spans="4:5">
      <c r="D2225" s="437" t="s">
        <v>5807</v>
      </c>
      <c r="E2225" s="435"/>
    </row>
    <row r="2226" spans="4:5">
      <c r="D2226" s="434" t="s">
        <v>5808</v>
      </c>
      <c r="E2226" s="435" t="s">
        <v>5809</v>
      </c>
    </row>
    <row r="2227" spans="4:5">
      <c r="D2227" s="434" t="s">
        <v>5810</v>
      </c>
      <c r="E2227" s="435" t="s">
        <v>5811</v>
      </c>
    </row>
    <row r="2228" spans="4:5">
      <c r="D2228" s="437" t="s">
        <v>5812</v>
      </c>
      <c r="E2228" s="435"/>
    </row>
    <row r="2229" spans="4:5">
      <c r="D2229" s="434" t="s">
        <v>5813</v>
      </c>
      <c r="E2229" s="435" t="s">
        <v>5809</v>
      </c>
    </row>
    <row r="2230" spans="4:5">
      <c r="D2230" s="437" t="s">
        <v>5814</v>
      </c>
      <c r="E2230" s="435"/>
    </row>
    <row r="2231" spans="4:5">
      <c r="D2231" s="434" t="s">
        <v>5815</v>
      </c>
      <c r="E2231" s="435" t="s">
        <v>5816</v>
      </c>
    </row>
    <row r="2232" spans="4:5">
      <c r="D2232" s="434" t="s">
        <v>5817</v>
      </c>
      <c r="E2232" s="435" t="s">
        <v>5818</v>
      </c>
    </row>
    <row r="2233" spans="4:5">
      <c r="D2233" s="434" t="s">
        <v>5819</v>
      </c>
      <c r="E2233" s="435" t="s">
        <v>5818</v>
      </c>
    </row>
    <row r="2234" spans="4:5">
      <c r="D2234" s="434" t="s">
        <v>5820</v>
      </c>
      <c r="E2234" s="435" t="s">
        <v>5818</v>
      </c>
    </row>
    <row r="2235" spans="4:5">
      <c r="D2235" s="434" t="s">
        <v>5821</v>
      </c>
      <c r="E2235" s="435" t="s">
        <v>5822</v>
      </c>
    </row>
    <row r="2236" spans="4:5">
      <c r="D2236" s="437" t="s">
        <v>5823</v>
      </c>
      <c r="E2236" s="435"/>
    </row>
    <row r="2237" spans="4:5">
      <c r="D2237" s="437" t="s">
        <v>5824</v>
      </c>
      <c r="E2237" s="435"/>
    </row>
    <row r="2238" spans="4:5">
      <c r="D2238" s="437" t="s">
        <v>5825</v>
      </c>
      <c r="E2238" s="435"/>
    </row>
    <row r="2239" spans="4:5">
      <c r="D2239" s="437" t="s">
        <v>5826</v>
      </c>
      <c r="E2239" s="435"/>
    </row>
    <row r="2240" spans="4:5">
      <c r="D2240" s="437" t="s">
        <v>5827</v>
      </c>
      <c r="E2240" s="435"/>
    </row>
    <row r="2241" spans="4:5">
      <c r="D2241" s="437" t="s">
        <v>5828</v>
      </c>
      <c r="E2241" s="435"/>
    </row>
    <row r="2242" spans="4:5">
      <c r="D2242" s="434" t="s">
        <v>5829</v>
      </c>
      <c r="E2242" s="435" t="s">
        <v>5830</v>
      </c>
    </row>
    <row r="2243" spans="4:5">
      <c r="D2243" s="434" t="s">
        <v>5831</v>
      </c>
      <c r="E2243" s="435" t="s">
        <v>5832</v>
      </c>
    </row>
    <row r="2244" spans="4:5">
      <c r="D2244" s="434" t="s">
        <v>5833</v>
      </c>
      <c r="E2244" s="435" t="s">
        <v>5832</v>
      </c>
    </row>
    <row r="2245" spans="4:5">
      <c r="D2245" s="437" t="s">
        <v>5834</v>
      </c>
      <c r="E2245" s="435"/>
    </row>
    <row r="2246" spans="4:5">
      <c r="D2246" s="437" t="s">
        <v>5835</v>
      </c>
      <c r="E2246" s="435"/>
    </row>
    <row r="2247" spans="4:5">
      <c r="D2247" s="434" t="s">
        <v>5836</v>
      </c>
      <c r="E2247" s="435" t="s">
        <v>5837</v>
      </c>
    </row>
    <row r="2248" spans="4:5">
      <c r="D2248" s="437" t="s">
        <v>5838</v>
      </c>
      <c r="E2248" s="435"/>
    </row>
    <row r="2249" spans="4:5">
      <c r="D2249" s="437" t="s">
        <v>5839</v>
      </c>
      <c r="E2249" s="435"/>
    </row>
    <row r="2250" spans="4:5">
      <c r="D2250" s="437" t="s">
        <v>5840</v>
      </c>
      <c r="E2250" s="435"/>
    </row>
    <row r="2251" spans="4:5">
      <c r="D2251" s="437" t="s">
        <v>5841</v>
      </c>
      <c r="E2251" s="435"/>
    </row>
    <row r="2252" spans="4:5">
      <c r="D2252" s="437" t="s">
        <v>5842</v>
      </c>
      <c r="E2252" s="435"/>
    </row>
    <row r="2253" spans="4:5">
      <c r="D2253" s="437" t="s">
        <v>5843</v>
      </c>
      <c r="E2253" s="435"/>
    </row>
    <row r="2254" spans="4:5">
      <c r="D2254" s="434" t="s">
        <v>5844</v>
      </c>
      <c r="E2254" s="435" t="s">
        <v>5845</v>
      </c>
    </row>
    <row r="2255" spans="4:5">
      <c r="D2255" s="434" t="s">
        <v>5846</v>
      </c>
      <c r="E2255" s="435" t="s">
        <v>5845</v>
      </c>
    </row>
    <row r="2256" spans="4:5">
      <c r="D2256" s="437" t="s">
        <v>5847</v>
      </c>
      <c r="E2256" s="435"/>
    </row>
    <row r="2257" spans="4:5">
      <c r="D2257" s="437" t="s">
        <v>5848</v>
      </c>
      <c r="E2257" s="435"/>
    </row>
    <row r="2258" spans="4:5">
      <c r="D2258" s="434" t="s">
        <v>5849</v>
      </c>
      <c r="E2258" s="435" t="s">
        <v>5845</v>
      </c>
    </row>
    <row r="2259" spans="4:5">
      <c r="D2259" s="434" t="s">
        <v>5850</v>
      </c>
      <c r="E2259" s="435"/>
    </row>
    <row r="2260" spans="4:5">
      <c r="D2260" s="437" t="s">
        <v>5851</v>
      </c>
      <c r="E2260" s="435"/>
    </row>
    <row r="2261" spans="4:5">
      <c r="D2261" s="434" t="s">
        <v>5852</v>
      </c>
      <c r="E2261" s="435" t="s">
        <v>5853</v>
      </c>
    </row>
    <row r="2262" spans="4:5">
      <c r="D2262" s="437" t="s">
        <v>5854</v>
      </c>
      <c r="E2262" s="435"/>
    </row>
    <row r="2263" spans="4:5">
      <c r="D2263" s="437" t="s">
        <v>5855</v>
      </c>
      <c r="E2263" s="435"/>
    </row>
    <row r="2264" spans="4:5">
      <c r="D2264" s="437" t="s">
        <v>5856</v>
      </c>
      <c r="E2264" s="435"/>
    </row>
    <row r="2265" spans="4:5">
      <c r="D2265" s="437" t="s">
        <v>5857</v>
      </c>
      <c r="E2265" s="435"/>
    </row>
    <row r="2266" spans="4:5">
      <c r="D2266" s="437" t="s">
        <v>5858</v>
      </c>
      <c r="E2266" s="435"/>
    </row>
    <row r="2267" spans="4:5">
      <c r="D2267" s="437" t="s">
        <v>5859</v>
      </c>
      <c r="E2267" s="435"/>
    </row>
    <row r="2268" spans="4:5">
      <c r="D2268" s="434" t="s">
        <v>5860</v>
      </c>
      <c r="E2268" s="435" t="s">
        <v>5861</v>
      </c>
    </row>
    <row r="2269" spans="4:5">
      <c r="D2269" s="437" t="s">
        <v>5862</v>
      </c>
      <c r="E2269" s="435"/>
    </row>
    <row r="2270" spans="4:5">
      <c r="D2270" s="437" t="s">
        <v>5863</v>
      </c>
      <c r="E2270" s="435"/>
    </row>
    <row r="2271" spans="4:5">
      <c r="D2271" s="437" t="s">
        <v>5864</v>
      </c>
      <c r="E2271" s="435"/>
    </row>
    <row r="2272" spans="4:5">
      <c r="D2272" s="437" t="s">
        <v>5865</v>
      </c>
      <c r="E2272" s="435"/>
    </row>
    <row r="2273" spans="4:5">
      <c r="D2273" s="437" t="s">
        <v>5866</v>
      </c>
      <c r="E2273" s="435"/>
    </row>
    <row r="2274" spans="4:5">
      <c r="D2274" s="437" t="s">
        <v>5867</v>
      </c>
      <c r="E2274" s="435"/>
    </row>
    <row r="2275" spans="4:5">
      <c r="D2275" s="437" t="s">
        <v>5868</v>
      </c>
      <c r="E2275" s="435"/>
    </row>
    <row r="2276" spans="4:5">
      <c r="D2276" s="437" t="s">
        <v>5869</v>
      </c>
      <c r="E2276" s="435"/>
    </row>
    <row r="2277" spans="4:5">
      <c r="D2277" s="437" t="s">
        <v>5870</v>
      </c>
      <c r="E2277" s="435"/>
    </row>
    <row r="2278" spans="4:5">
      <c r="D2278" s="434" t="s">
        <v>5871</v>
      </c>
      <c r="E2278" s="435" t="s">
        <v>5872</v>
      </c>
    </row>
    <row r="2279" spans="4:5">
      <c r="D2279" s="437" t="s">
        <v>5873</v>
      </c>
      <c r="E2279" s="435"/>
    </row>
    <row r="2280" spans="4:5">
      <c r="D2280" s="437" t="s">
        <v>5874</v>
      </c>
      <c r="E2280" s="435"/>
    </row>
    <row r="2281" spans="4:5">
      <c r="D2281" s="434" t="s">
        <v>5875</v>
      </c>
      <c r="E2281" s="435" t="s">
        <v>5876</v>
      </c>
    </row>
    <row r="2282" spans="4:5">
      <c r="D2282" s="434" t="s">
        <v>5877</v>
      </c>
      <c r="E2282" s="435" t="s">
        <v>5878</v>
      </c>
    </row>
    <row r="2283" spans="4:5">
      <c r="D2283" s="437" t="s">
        <v>5879</v>
      </c>
      <c r="E2283" s="435"/>
    </row>
    <row r="2284" spans="4:5">
      <c r="D2284" s="434" t="s">
        <v>5880</v>
      </c>
      <c r="E2284" s="435" t="s">
        <v>5881</v>
      </c>
    </row>
    <row r="2285" spans="4:5">
      <c r="D2285" s="434" t="s">
        <v>5882</v>
      </c>
      <c r="E2285" s="435" t="s">
        <v>5883</v>
      </c>
    </row>
    <row r="2286" spans="4:5">
      <c r="D2286" s="434" t="s">
        <v>5884</v>
      </c>
      <c r="E2286" s="435" t="s">
        <v>5883</v>
      </c>
    </row>
    <row r="2287" spans="4:5">
      <c r="D2287" s="434" t="s">
        <v>5885</v>
      </c>
      <c r="E2287" s="435" t="s">
        <v>5886</v>
      </c>
    </row>
    <row r="2288" spans="4:5">
      <c r="D2288" s="437" t="s">
        <v>5887</v>
      </c>
      <c r="E2288" s="435"/>
    </row>
    <row r="2289" spans="4:5">
      <c r="D2289" s="434" t="s">
        <v>5888</v>
      </c>
      <c r="E2289" s="435" t="s">
        <v>5889</v>
      </c>
    </row>
    <row r="2290" spans="4:5">
      <c r="D2290" s="437" t="s">
        <v>5890</v>
      </c>
      <c r="E2290" s="435"/>
    </row>
    <row r="2291" spans="4:5">
      <c r="D2291" s="434" t="s">
        <v>5891</v>
      </c>
      <c r="E2291" s="435" t="s">
        <v>5892</v>
      </c>
    </row>
    <row r="2292" spans="4:5">
      <c r="D2292" s="437" t="s">
        <v>5893</v>
      </c>
      <c r="E2292" s="435"/>
    </row>
    <row r="2293" spans="4:5">
      <c r="D2293" s="437" t="s">
        <v>5894</v>
      </c>
      <c r="E2293" s="435"/>
    </row>
    <row r="2294" spans="4:5">
      <c r="D2294" s="434" t="s">
        <v>5895</v>
      </c>
      <c r="E2294" s="435" t="s">
        <v>5896</v>
      </c>
    </row>
    <row r="2295" spans="4:5">
      <c r="D2295" s="437" t="s">
        <v>5897</v>
      </c>
      <c r="E2295" s="435"/>
    </row>
    <row r="2296" spans="4:5">
      <c r="D2296" s="434" t="s">
        <v>5898</v>
      </c>
      <c r="E2296" s="435" t="s">
        <v>5899</v>
      </c>
    </row>
    <row r="2297" spans="4:5">
      <c r="D2297" s="434" t="s">
        <v>5900</v>
      </c>
      <c r="E2297" s="435" t="s">
        <v>5901</v>
      </c>
    </row>
    <row r="2298" spans="4:5">
      <c r="D2298" s="437" t="s">
        <v>5902</v>
      </c>
      <c r="E2298" s="435"/>
    </row>
    <row r="2299" spans="4:5">
      <c r="D2299" s="434" t="s">
        <v>5903</v>
      </c>
      <c r="E2299" s="435" t="s">
        <v>5904</v>
      </c>
    </row>
    <row r="2300" spans="4:5">
      <c r="D2300" s="437" t="s">
        <v>5905</v>
      </c>
      <c r="E2300" s="435"/>
    </row>
    <row r="2301" spans="4:5">
      <c r="D2301" s="434" t="s">
        <v>5906</v>
      </c>
      <c r="E2301" s="435" t="s">
        <v>5907</v>
      </c>
    </row>
    <row r="2302" spans="4:5">
      <c r="D2302" s="437" t="s">
        <v>5908</v>
      </c>
      <c r="E2302" s="435"/>
    </row>
    <row r="2303" spans="4:5">
      <c r="D2303" s="437" t="s">
        <v>5909</v>
      </c>
      <c r="E2303" s="435"/>
    </row>
    <row r="2304" spans="4:5">
      <c r="D2304" s="434" t="s">
        <v>5910</v>
      </c>
      <c r="E2304" s="435" t="s">
        <v>5911</v>
      </c>
    </row>
    <row r="2305" spans="4:5">
      <c r="D2305" s="437" t="s">
        <v>5912</v>
      </c>
      <c r="E2305" s="435"/>
    </row>
    <row r="2306" spans="4:5">
      <c r="D2306" s="434" t="s">
        <v>5913</v>
      </c>
      <c r="E2306" s="435" t="s">
        <v>5914</v>
      </c>
    </row>
    <row r="2307" spans="4:5">
      <c r="D2307" s="437" t="s">
        <v>5915</v>
      </c>
      <c r="E2307" s="435"/>
    </row>
    <row r="2308" spans="4:5">
      <c r="D2308" s="437" t="s">
        <v>5916</v>
      </c>
      <c r="E2308" s="435"/>
    </row>
    <row r="2309" spans="4:5">
      <c r="D2309" s="434" t="s">
        <v>5917</v>
      </c>
      <c r="E2309" s="435" t="s">
        <v>5918</v>
      </c>
    </row>
    <row r="2310" spans="4:5">
      <c r="D2310" s="437" t="s">
        <v>5919</v>
      </c>
      <c r="E2310" s="435"/>
    </row>
    <row r="2311" spans="4:5">
      <c r="D2311" s="437" t="s">
        <v>5920</v>
      </c>
      <c r="E2311" s="435"/>
    </row>
    <row r="2312" spans="4:5">
      <c r="D2312" s="434" t="s">
        <v>5921</v>
      </c>
      <c r="E2312" s="435" t="s">
        <v>5922</v>
      </c>
    </row>
    <row r="2313" spans="4:5">
      <c r="D2313" s="437" t="s">
        <v>5923</v>
      </c>
      <c r="E2313" s="435"/>
    </row>
    <row r="2314" spans="4:5">
      <c r="D2314" s="437" t="s">
        <v>5924</v>
      </c>
      <c r="E2314" s="435"/>
    </row>
    <row r="2315" spans="4:5">
      <c r="D2315" s="437" t="s">
        <v>5925</v>
      </c>
      <c r="E2315" s="435"/>
    </row>
    <row r="2316" spans="4:5">
      <c r="D2316" s="437" t="s">
        <v>5926</v>
      </c>
      <c r="E2316" s="435"/>
    </row>
    <row r="2317" spans="4:5">
      <c r="D2317" s="434" t="s">
        <v>5927</v>
      </c>
      <c r="E2317" s="435" t="s">
        <v>5928</v>
      </c>
    </row>
    <row r="2318" spans="4:5">
      <c r="D2318" s="434" t="s">
        <v>5929</v>
      </c>
      <c r="E2318" s="435" t="s">
        <v>5930</v>
      </c>
    </row>
    <row r="2319" spans="4:5">
      <c r="D2319" s="437" t="s">
        <v>5931</v>
      </c>
      <c r="E2319" s="435"/>
    </row>
    <row r="2320" spans="4:5">
      <c r="D2320" s="437" t="s">
        <v>5932</v>
      </c>
      <c r="E2320" s="435"/>
    </row>
    <row r="2321" spans="4:5">
      <c r="D2321" s="437" t="s">
        <v>5933</v>
      </c>
      <c r="E2321" s="435"/>
    </row>
    <row r="2322" spans="4:5">
      <c r="D2322" s="434" t="s">
        <v>5934</v>
      </c>
      <c r="E2322" s="435" t="s">
        <v>5935</v>
      </c>
    </row>
    <row r="2323" spans="4:5">
      <c r="D2323" s="437" t="s">
        <v>5936</v>
      </c>
      <c r="E2323" s="435"/>
    </row>
    <row r="2324" spans="4:5">
      <c r="D2324" s="437" t="s">
        <v>5937</v>
      </c>
      <c r="E2324" s="435"/>
    </row>
    <row r="2325" spans="4:5">
      <c r="D2325" s="434" t="s">
        <v>5938</v>
      </c>
      <c r="E2325" s="435" t="s">
        <v>5939</v>
      </c>
    </row>
    <row r="2326" spans="4:5">
      <c r="D2326" s="434" t="s">
        <v>5940</v>
      </c>
      <c r="E2326" s="435" t="s">
        <v>5941</v>
      </c>
    </row>
    <row r="2327" spans="4:5">
      <c r="D2327" s="437" t="s">
        <v>5942</v>
      </c>
      <c r="E2327" s="435"/>
    </row>
    <row r="2328" spans="4:5">
      <c r="D2328" s="437" t="s">
        <v>5943</v>
      </c>
      <c r="E2328" s="435"/>
    </row>
    <row r="2329" spans="4:5">
      <c r="D2329" s="437" t="s">
        <v>5944</v>
      </c>
      <c r="E2329" s="435"/>
    </row>
    <row r="2330" spans="4:5">
      <c r="D2330" s="437" t="s">
        <v>5945</v>
      </c>
      <c r="E2330" s="435"/>
    </row>
    <row r="2331" spans="4:5">
      <c r="D2331" s="437" t="s">
        <v>5946</v>
      </c>
      <c r="E2331" s="435"/>
    </row>
    <row r="2332" spans="4:5">
      <c r="D2332" s="437" t="s">
        <v>5947</v>
      </c>
      <c r="E2332" s="435"/>
    </row>
    <row r="2333" spans="4:5">
      <c r="D2333" s="437" t="s">
        <v>5948</v>
      </c>
      <c r="E2333" s="435"/>
    </row>
    <row r="2334" spans="4:5">
      <c r="D2334" s="434" t="s">
        <v>5949</v>
      </c>
      <c r="E2334" s="435" t="s">
        <v>5950</v>
      </c>
    </row>
    <row r="2335" spans="4:5">
      <c r="D2335" s="434" t="s">
        <v>5951</v>
      </c>
      <c r="E2335" s="435" t="s">
        <v>5952</v>
      </c>
    </row>
    <row r="2336" spans="4:5">
      <c r="D2336" s="437" t="s">
        <v>5953</v>
      </c>
      <c r="E2336" s="435"/>
    </row>
    <row r="2337" spans="4:5">
      <c r="D2337" s="434" t="s">
        <v>5954</v>
      </c>
      <c r="E2337" s="435" t="s">
        <v>5955</v>
      </c>
    </row>
    <row r="2338" spans="4:5">
      <c r="D2338" s="437" t="s">
        <v>5956</v>
      </c>
      <c r="E2338" s="435"/>
    </row>
    <row r="2339" spans="4:5">
      <c r="D2339" s="434" t="s">
        <v>5957</v>
      </c>
      <c r="E2339" s="435" t="s">
        <v>5958</v>
      </c>
    </row>
    <row r="2340" spans="4:5">
      <c r="D2340" s="434" t="s">
        <v>5959</v>
      </c>
      <c r="E2340" s="435" t="s">
        <v>5960</v>
      </c>
    </row>
    <row r="2341" spans="4:5">
      <c r="D2341" s="437" t="s">
        <v>676</v>
      </c>
      <c r="E2341" s="435"/>
    </row>
    <row r="2342" spans="4:5">
      <c r="D2342" s="437" t="s">
        <v>5961</v>
      </c>
      <c r="E2342" s="435"/>
    </row>
    <row r="2343" spans="4:5">
      <c r="D2343" s="437" t="s">
        <v>5962</v>
      </c>
      <c r="E2343" s="435"/>
    </row>
    <row r="2344" spans="4:5">
      <c r="D2344" s="434" t="s">
        <v>5963</v>
      </c>
      <c r="E2344" s="435" t="s">
        <v>5964</v>
      </c>
    </row>
    <row r="2345" spans="4:5">
      <c r="D2345" s="434" t="s">
        <v>5965</v>
      </c>
      <c r="E2345" s="435" t="s">
        <v>5964</v>
      </c>
    </row>
    <row r="2346" spans="4:5">
      <c r="D2346" s="437" t="s">
        <v>5966</v>
      </c>
      <c r="E2346" s="435"/>
    </row>
    <row r="2347" spans="4:5">
      <c r="D2347" s="434" t="s">
        <v>5967</v>
      </c>
      <c r="E2347" s="435" t="s">
        <v>5968</v>
      </c>
    </row>
    <row r="2348" spans="4:5">
      <c r="D2348" s="434" t="s">
        <v>5969</v>
      </c>
      <c r="E2348" s="435" t="s">
        <v>5970</v>
      </c>
    </row>
    <row r="2349" spans="4:5">
      <c r="D2349" s="437" t="s">
        <v>5971</v>
      </c>
      <c r="E2349" s="435"/>
    </row>
    <row r="2350" spans="4:5">
      <c r="D2350" s="437" t="s">
        <v>5972</v>
      </c>
      <c r="E2350" s="435"/>
    </row>
    <row r="2351" spans="4:5">
      <c r="D2351" s="437" t="s">
        <v>5973</v>
      </c>
      <c r="E2351" s="435"/>
    </row>
    <row r="2352" spans="4:5">
      <c r="D2352" s="437" t="s">
        <v>5974</v>
      </c>
      <c r="E2352" s="435"/>
    </row>
    <row r="2353" spans="4:5">
      <c r="D2353" s="437" t="s">
        <v>5975</v>
      </c>
      <c r="E2353" s="435"/>
    </row>
    <row r="2354" spans="4:5">
      <c r="D2354" s="434" t="s">
        <v>5976</v>
      </c>
      <c r="E2354" s="435" t="s">
        <v>5977</v>
      </c>
    </row>
    <row r="2355" spans="4:5">
      <c r="D2355" s="434" t="s">
        <v>5978</v>
      </c>
      <c r="E2355" s="435" t="s">
        <v>5977</v>
      </c>
    </row>
    <row r="2356" spans="4:5">
      <c r="D2356" s="437" t="s">
        <v>5979</v>
      </c>
      <c r="E2356" s="435"/>
    </row>
    <row r="2357" spans="4:5">
      <c r="D2357" s="437" t="s">
        <v>5980</v>
      </c>
      <c r="E2357" s="435"/>
    </row>
    <row r="2358" spans="4:5">
      <c r="D2358" s="437" t="s">
        <v>5981</v>
      </c>
      <c r="E2358" s="435"/>
    </row>
    <row r="2359" spans="4:5">
      <c r="D2359" s="437" t="s">
        <v>5982</v>
      </c>
      <c r="E2359" s="435"/>
    </row>
    <row r="2360" spans="4:5">
      <c r="D2360" s="434" t="s">
        <v>5983</v>
      </c>
      <c r="E2360" s="435" t="s">
        <v>5984</v>
      </c>
    </row>
    <row r="2361" spans="4:5">
      <c r="D2361" s="437" t="s">
        <v>5985</v>
      </c>
      <c r="E2361" s="435"/>
    </row>
    <row r="2362" spans="4:5">
      <c r="D2362" s="434" t="s">
        <v>5986</v>
      </c>
      <c r="E2362" s="435" t="s">
        <v>5987</v>
      </c>
    </row>
    <row r="2363" spans="4:5">
      <c r="D2363" s="437" t="s">
        <v>5988</v>
      </c>
      <c r="E2363" s="435"/>
    </row>
    <row r="2364" spans="4:5">
      <c r="D2364" s="434" t="s">
        <v>5989</v>
      </c>
      <c r="E2364" s="435" t="s">
        <v>5990</v>
      </c>
    </row>
    <row r="2365" spans="4:5">
      <c r="D2365" s="437" t="s">
        <v>5991</v>
      </c>
      <c r="E2365" s="435"/>
    </row>
    <row r="2366" spans="4:5">
      <c r="D2366" s="437" t="s">
        <v>5992</v>
      </c>
      <c r="E2366" s="435"/>
    </row>
    <row r="2367" spans="4:5">
      <c r="D2367" s="437" t="s">
        <v>5993</v>
      </c>
      <c r="E2367" s="435"/>
    </row>
    <row r="2368" spans="4:5">
      <c r="D2368" s="437" t="s">
        <v>5994</v>
      </c>
      <c r="E2368" s="435"/>
    </row>
    <row r="2369" spans="4:5">
      <c r="D2369" s="434" t="s">
        <v>5995</v>
      </c>
      <c r="E2369" s="435" t="s">
        <v>5996</v>
      </c>
    </row>
    <row r="2370" spans="4:5">
      <c r="D2370" s="437" t="s">
        <v>5997</v>
      </c>
      <c r="E2370" s="435"/>
    </row>
    <row r="2371" spans="4:5">
      <c r="D2371" s="437" t="s">
        <v>5998</v>
      </c>
      <c r="E2371" s="435"/>
    </row>
    <row r="2372" spans="4:5">
      <c r="D2372" s="437" t="s">
        <v>5999</v>
      </c>
      <c r="E2372" s="435"/>
    </row>
    <row r="2373" spans="4:5">
      <c r="D2373" s="437" t="s">
        <v>6000</v>
      </c>
      <c r="E2373" s="435"/>
    </row>
    <row r="2374" spans="4:5">
      <c r="D2374" s="437" t="s">
        <v>6001</v>
      </c>
      <c r="E2374" s="435"/>
    </row>
    <row r="2375" spans="4:5">
      <c r="D2375" s="437" t="s">
        <v>6002</v>
      </c>
      <c r="E2375" s="435"/>
    </row>
    <row r="2376" spans="4:5">
      <c r="D2376" s="437" t="s">
        <v>6003</v>
      </c>
      <c r="E2376" s="435"/>
    </row>
    <row r="2377" spans="4:5">
      <c r="D2377" s="434" t="s">
        <v>6004</v>
      </c>
      <c r="E2377" s="435" t="s">
        <v>6005</v>
      </c>
    </row>
    <row r="2378" spans="4:5">
      <c r="D2378" s="434" t="s">
        <v>6006</v>
      </c>
      <c r="E2378" s="435" t="s">
        <v>6005</v>
      </c>
    </row>
    <row r="2379" spans="4:5">
      <c r="D2379" s="437" t="s">
        <v>6007</v>
      </c>
      <c r="E2379" s="435"/>
    </row>
    <row r="2380" spans="4:5">
      <c r="D2380" s="434" t="s">
        <v>6008</v>
      </c>
      <c r="E2380" s="435" t="s">
        <v>6005</v>
      </c>
    </row>
    <row r="2381" spans="4:5">
      <c r="D2381" s="437" t="s">
        <v>6009</v>
      </c>
      <c r="E2381" s="435"/>
    </row>
    <row r="2382" spans="4:5">
      <c r="D2382" s="437" t="s">
        <v>6010</v>
      </c>
      <c r="E2382" s="435"/>
    </row>
    <row r="2383" spans="4:5">
      <c r="D2383" s="434" t="s">
        <v>6011</v>
      </c>
      <c r="E2383" s="435" t="s">
        <v>6012</v>
      </c>
    </row>
    <row r="2384" spans="4:5">
      <c r="D2384" s="437" t="s">
        <v>6013</v>
      </c>
      <c r="E2384" s="435"/>
    </row>
    <row r="2385" spans="4:5">
      <c r="D2385" s="437" t="s">
        <v>6014</v>
      </c>
      <c r="E2385" s="435"/>
    </row>
    <row r="2386" spans="4:5">
      <c r="D2386" s="434" t="s">
        <v>6015</v>
      </c>
      <c r="E2386" s="435" t="s">
        <v>6016</v>
      </c>
    </row>
    <row r="2387" spans="4:5">
      <c r="D2387" s="434" t="s">
        <v>6017</v>
      </c>
      <c r="E2387" s="435" t="s">
        <v>6016</v>
      </c>
    </row>
    <row r="2388" spans="4:5">
      <c r="D2388" s="437" t="s">
        <v>6018</v>
      </c>
      <c r="E2388" s="435"/>
    </row>
    <row r="2389" spans="4:5">
      <c r="D2389" s="437" t="s">
        <v>6019</v>
      </c>
      <c r="E2389" s="435"/>
    </row>
    <row r="2390" spans="4:5">
      <c r="D2390" s="437" t="s">
        <v>6020</v>
      </c>
      <c r="E2390" s="435"/>
    </row>
    <row r="2391" spans="4:5">
      <c r="D2391" s="437" t="s">
        <v>6021</v>
      </c>
      <c r="E2391" s="435"/>
    </row>
    <row r="2392" spans="4:5">
      <c r="D2392" s="437" t="s">
        <v>6022</v>
      </c>
      <c r="E2392" s="435"/>
    </row>
    <row r="2393" spans="4:5">
      <c r="D2393" s="437" t="s">
        <v>6023</v>
      </c>
      <c r="E2393" s="435"/>
    </row>
    <row r="2394" spans="4:5">
      <c r="D2394" s="434" t="s">
        <v>6024</v>
      </c>
      <c r="E2394" s="435" t="s">
        <v>6025</v>
      </c>
    </row>
    <row r="2395" spans="4:5">
      <c r="D2395" s="437" t="s">
        <v>6026</v>
      </c>
      <c r="E2395" s="435"/>
    </row>
    <row r="2396" spans="4:5">
      <c r="D2396" s="437" t="s">
        <v>6027</v>
      </c>
      <c r="E2396" s="435"/>
    </row>
    <row r="2397" spans="4:5">
      <c r="D2397" s="434" t="s">
        <v>6028</v>
      </c>
      <c r="E2397" s="435" t="s">
        <v>6029</v>
      </c>
    </row>
    <row r="2398" spans="4:5">
      <c r="D2398" s="434" t="s">
        <v>6030</v>
      </c>
      <c r="E2398" s="435" t="s">
        <v>6029</v>
      </c>
    </row>
    <row r="2399" spans="4:5">
      <c r="D2399" s="437" t="s">
        <v>6031</v>
      </c>
      <c r="E2399" s="435"/>
    </row>
    <row r="2400" spans="4:5">
      <c r="D2400" s="437" t="s">
        <v>6032</v>
      </c>
      <c r="E2400" s="435"/>
    </row>
    <row r="2401" spans="4:5">
      <c r="D2401" s="437" t="s">
        <v>6033</v>
      </c>
      <c r="E2401" s="435"/>
    </row>
    <row r="2402" spans="4:5">
      <c r="D2402" s="437" t="s">
        <v>6034</v>
      </c>
      <c r="E2402" s="435"/>
    </row>
    <row r="2403" spans="4:5">
      <c r="D2403" s="437" t="s">
        <v>6035</v>
      </c>
      <c r="E2403" s="435"/>
    </row>
    <row r="2404" spans="4:5">
      <c r="D2404" s="437" t="s">
        <v>6036</v>
      </c>
      <c r="E2404" s="435"/>
    </row>
    <row r="2405" spans="4:5">
      <c r="D2405" s="434" t="s">
        <v>6037</v>
      </c>
      <c r="E2405" s="435" t="s">
        <v>6029</v>
      </c>
    </row>
    <row r="2406" spans="4:5">
      <c r="D2406" s="437" t="s">
        <v>6038</v>
      </c>
      <c r="E2406" s="435"/>
    </row>
    <row r="2407" spans="4:5">
      <c r="D2407" s="437" t="s">
        <v>6039</v>
      </c>
      <c r="E2407" s="435"/>
    </row>
    <row r="2408" spans="4:5">
      <c r="D2408" s="437" t="s">
        <v>6040</v>
      </c>
      <c r="E2408" s="435"/>
    </row>
    <row r="2409" spans="4:5">
      <c r="D2409" s="437" t="s">
        <v>6041</v>
      </c>
      <c r="E2409" s="435"/>
    </row>
    <row r="2410" spans="4:5">
      <c r="D2410" s="437" t="s">
        <v>6042</v>
      </c>
      <c r="E2410" s="435"/>
    </row>
    <row r="2411" spans="4:5">
      <c r="D2411" s="434" t="s">
        <v>6043</v>
      </c>
      <c r="E2411" s="435" t="s">
        <v>6044</v>
      </c>
    </row>
    <row r="2412" spans="4:5">
      <c r="D2412" s="434" t="s">
        <v>6045</v>
      </c>
      <c r="E2412" s="435" t="s">
        <v>6046</v>
      </c>
    </row>
    <row r="2413" spans="4:5">
      <c r="D2413" s="437" t="s">
        <v>6047</v>
      </c>
      <c r="E2413" s="435"/>
    </row>
    <row r="2414" spans="4:5">
      <c r="D2414" s="437" t="s">
        <v>6048</v>
      </c>
      <c r="E2414" s="435"/>
    </row>
    <row r="2415" spans="4:5">
      <c r="D2415" s="437" t="s">
        <v>6049</v>
      </c>
      <c r="E2415" s="435"/>
    </row>
    <row r="2416" spans="4:5">
      <c r="D2416" s="437" t="s">
        <v>6050</v>
      </c>
      <c r="E2416" s="435"/>
    </row>
    <row r="2417" spans="4:5">
      <c r="D2417" s="437" t="s">
        <v>6051</v>
      </c>
      <c r="E2417" s="435"/>
    </row>
    <row r="2418" spans="4:5">
      <c r="D2418" s="437" t="s">
        <v>6052</v>
      </c>
      <c r="E2418" s="435"/>
    </row>
    <row r="2419" spans="4:5">
      <c r="D2419" s="437" t="s">
        <v>6053</v>
      </c>
      <c r="E2419" s="435"/>
    </row>
    <row r="2420" spans="4:5">
      <c r="D2420" s="437" t="s">
        <v>6054</v>
      </c>
      <c r="E2420" s="435"/>
    </row>
    <row r="2421" spans="4:5">
      <c r="D2421" s="437" t="s">
        <v>6055</v>
      </c>
      <c r="E2421" s="435"/>
    </row>
    <row r="2422" spans="4:5">
      <c r="D2422" s="434" t="s">
        <v>6056</v>
      </c>
      <c r="E2422" s="435" t="s">
        <v>6057</v>
      </c>
    </row>
    <row r="2423" spans="4:5">
      <c r="D2423" s="437" t="s">
        <v>6058</v>
      </c>
      <c r="E2423" s="435"/>
    </row>
    <row r="2424" spans="4:5">
      <c r="D2424" s="437" t="s">
        <v>6059</v>
      </c>
      <c r="E2424" s="435"/>
    </row>
    <row r="2425" spans="4:5">
      <c r="D2425" s="437" t="s">
        <v>6060</v>
      </c>
      <c r="E2425" s="435"/>
    </row>
    <row r="2426" spans="4:5">
      <c r="D2426" s="437" t="s">
        <v>6061</v>
      </c>
      <c r="E2426" s="435"/>
    </row>
    <row r="2427" spans="4:5">
      <c r="D2427" s="437" t="s">
        <v>6062</v>
      </c>
      <c r="E2427" s="435"/>
    </row>
    <row r="2428" spans="4:5">
      <c r="D2428" s="434" t="s">
        <v>6063</v>
      </c>
      <c r="E2428" s="435" t="s">
        <v>6064</v>
      </c>
    </row>
    <row r="2429" spans="4:5">
      <c r="D2429" s="434" t="s">
        <v>6065</v>
      </c>
      <c r="E2429" s="435" t="s">
        <v>6064</v>
      </c>
    </row>
    <row r="2430" spans="4:5">
      <c r="D2430" s="434" t="s">
        <v>6066</v>
      </c>
      <c r="E2430" s="435" t="s">
        <v>6067</v>
      </c>
    </row>
    <row r="2431" spans="4:5">
      <c r="D2431" s="437" t="s">
        <v>6068</v>
      </c>
      <c r="E2431" s="435"/>
    </row>
    <row r="2432" spans="4:5">
      <c r="D2432" s="437" t="s">
        <v>6069</v>
      </c>
      <c r="E2432" s="435"/>
    </row>
    <row r="2433" spans="4:5">
      <c r="D2433" s="437" t="s">
        <v>6070</v>
      </c>
      <c r="E2433" s="435"/>
    </row>
    <row r="2434" spans="4:5">
      <c r="D2434" s="437" t="s">
        <v>6071</v>
      </c>
      <c r="E2434" s="435"/>
    </row>
    <row r="2435" spans="4:5">
      <c r="D2435" s="434" t="s">
        <v>6072</v>
      </c>
      <c r="E2435" s="435" t="s">
        <v>6073</v>
      </c>
    </row>
    <row r="2436" spans="4:5">
      <c r="D2436" s="434" t="s">
        <v>6074</v>
      </c>
      <c r="E2436" s="435" t="s">
        <v>6075</v>
      </c>
    </row>
    <row r="2437" spans="4:5">
      <c r="D2437" s="434" t="s">
        <v>6076</v>
      </c>
      <c r="E2437" s="435" t="s">
        <v>6077</v>
      </c>
    </row>
    <row r="2438" spans="4:5">
      <c r="D2438" s="437" t="s">
        <v>6078</v>
      </c>
      <c r="E2438" s="435"/>
    </row>
    <row r="2439" spans="4:5">
      <c r="D2439" s="434" t="s">
        <v>6079</v>
      </c>
      <c r="E2439" s="435" t="s">
        <v>6080</v>
      </c>
    </row>
    <row r="2440" spans="4:5">
      <c r="D2440" s="437" t="s">
        <v>6081</v>
      </c>
      <c r="E2440" s="435"/>
    </row>
    <row r="2441" spans="4:5">
      <c r="D2441" s="437" t="s">
        <v>6082</v>
      </c>
      <c r="E2441" s="435"/>
    </row>
    <row r="2442" spans="4:5">
      <c r="D2442" s="437" t="s">
        <v>6083</v>
      </c>
      <c r="E2442" s="435"/>
    </row>
    <row r="2443" spans="4:5">
      <c r="D2443" s="434" t="s">
        <v>6084</v>
      </c>
      <c r="E2443" s="435" t="s">
        <v>6085</v>
      </c>
    </row>
    <row r="2444" spans="4:5">
      <c r="D2444" s="437" t="s">
        <v>6086</v>
      </c>
      <c r="E2444" s="435"/>
    </row>
    <row r="2445" spans="4:5">
      <c r="D2445" s="437" t="s">
        <v>6087</v>
      </c>
      <c r="E2445" s="435"/>
    </row>
    <row r="2446" spans="4:5">
      <c r="D2446" s="434" t="s">
        <v>6088</v>
      </c>
      <c r="E2446" s="435" t="s">
        <v>6089</v>
      </c>
    </row>
    <row r="2447" spans="4:5">
      <c r="D2447" s="437" t="s">
        <v>6090</v>
      </c>
      <c r="E2447" s="435"/>
    </row>
    <row r="2448" spans="4:5">
      <c r="D2448" s="434" t="s">
        <v>6091</v>
      </c>
      <c r="E2448" s="435" t="s">
        <v>6092</v>
      </c>
    </row>
    <row r="2449" spans="4:5">
      <c r="D2449" s="437" t="s">
        <v>6093</v>
      </c>
      <c r="E2449" s="435"/>
    </row>
    <row r="2450" spans="4:5">
      <c r="D2450" s="434" t="s">
        <v>6094</v>
      </c>
      <c r="E2450" s="435" t="s">
        <v>6095</v>
      </c>
    </row>
    <row r="2451" spans="4:5">
      <c r="D2451" s="434" t="s">
        <v>6096</v>
      </c>
      <c r="E2451" s="435" t="s">
        <v>6097</v>
      </c>
    </row>
    <row r="2452" spans="4:5">
      <c r="D2452" s="434" t="s">
        <v>6098</v>
      </c>
      <c r="E2452" s="435" t="s">
        <v>6099</v>
      </c>
    </row>
    <row r="2453" spans="4:5">
      <c r="D2453" s="434" t="s">
        <v>6100</v>
      </c>
      <c r="E2453" s="435" t="s">
        <v>6099</v>
      </c>
    </row>
    <row r="2454" spans="4:5">
      <c r="D2454" s="437" t="s">
        <v>6101</v>
      </c>
      <c r="E2454" s="435"/>
    </row>
    <row r="2455" spans="4:5">
      <c r="D2455" s="437" t="s">
        <v>6102</v>
      </c>
      <c r="E2455" s="435"/>
    </row>
    <row r="2456" spans="4:5">
      <c r="D2456" s="437" t="s">
        <v>6103</v>
      </c>
      <c r="E2456" s="435"/>
    </row>
    <row r="2457" spans="4:5">
      <c r="D2457" s="434" t="s">
        <v>6104</v>
      </c>
      <c r="E2457" s="435" t="s">
        <v>6105</v>
      </c>
    </row>
    <row r="2458" spans="4:5">
      <c r="D2458" s="434" t="s">
        <v>6106</v>
      </c>
      <c r="E2458" s="435" t="s">
        <v>6105</v>
      </c>
    </row>
    <row r="2459" spans="4:5">
      <c r="D2459" s="437" t="s">
        <v>6107</v>
      </c>
      <c r="E2459" s="435"/>
    </row>
    <row r="2460" spans="4:5">
      <c r="D2460" s="434" t="s">
        <v>6108</v>
      </c>
      <c r="E2460" s="435" t="s">
        <v>6109</v>
      </c>
    </row>
    <row r="2461" spans="4:5">
      <c r="D2461" s="437" t="s">
        <v>6110</v>
      </c>
      <c r="E2461" s="435"/>
    </row>
    <row r="2462" spans="4:5">
      <c r="D2462" s="437" t="s">
        <v>6111</v>
      </c>
      <c r="E2462" s="435"/>
    </row>
    <row r="2463" spans="4:5">
      <c r="D2463" s="437" t="s">
        <v>6112</v>
      </c>
      <c r="E2463" s="435"/>
    </row>
    <row r="2464" spans="4:5">
      <c r="D2464" s="437" t="s">
        <v>6113</v>
      </c>
      <c r="E2464" s="435"/>
    </row>
    <row r="2465" spans="4:5">
      <c r="D2465" s="434" t="s">
        <v>6114</v>
      </c>
      <c r="E2465" s="435" t="s">
        <v>6115</v>
      </c>
    </row>
    <row r="2466" spans="4:5">
      <c r="D2466" s="434" t="s">
        <v>6116</v>
      </c>
      <c r="E2466" s="435"/>
    </row>
    <row r="2467" spans="4:5">
      <c r="D2467" s="434" t="s">
        <v>6117</v>
      </c>
      <c r="E2467" s="435" t="s">
        <v>6118</v>
      </c>
    </row>
    <row r="2468" spans="4:5">
      <c r="D2468" s="437" t="s">
        <v>6119</v>
      </c>
      <c r="E2468" s="435"/>
    </row>
    <row r="2469" spans="4:5">
      <c r="D2469" s="434" t="s">
        <v>6120</v>
      </c>
      <c r="E2469" s="435"/>
    </row>
    <row r="2470" spans="4:5">
      <c r="D2470" s="434" t="s">
        <v>6121</v>
      </c>
      <c r="E2470" s="435" t="s">
        <v>6122</v>
      </c>
    </row>
    <row r="2471" spans="4:5">
      <c r="D2471" s="437" t="s">
        <v>6123</v>
      </c>
      <c r="E2471" s="435"/>
    </row>
    <row r="2472" spans="4:5">
      <c r="D2472" s="437" t="s">
        <v>6124</v>
      </c>
      <c r="E2472" s="435"/>
    </row>
    <row r="2473" spans="4:5">
      <c r="D2473" s="437" t="s">
        <v>6125</v>
      </c>
      <c r="E2473" s="435"/>
    </row>
    <row r="2474" spans="4:5">
      <c r="D2474" s="434" t="s">
        <v>6126</v>
      </c>
      <c r="E2474" s="435" t="s">
        <v>6127</v>
      </c>
    </row>
    <row r="2475" spans="4:5">
      <c r="D2475" s="434" t="s">
        <v>6128</v>
      </c>
      <c r="E2475" s="435" t="s">
        <v>6129</v>
      </c>
    </row>
    <row r="2476" spans="4:5">
      <c r="D2476" s="434" t="s">
        <v>6130</v>
      </c>
      <c r="E2476" s="435" t="s">
        <v>6131</v>
      </c>
    </row>
    <row r="2477" spans="4:5">
      <c r="D2477" s="437" t="s">
        <v>6132</v>
      </c>
      <c r="E2477" s="435"/>
    </row>
    <row r="2478" spans="4:5">
      <c r="D2478" s="434" t="s">
        <v>6133</v>
      </c>
      <c r="E2478" s="435" t="s">
        <v>6134</v>
      </c>
    </row>
    <row r="2479" spans="4:5">
      <c r="D2479" s="434" t="s">
        <v>6135</v>
      </c>
      <c r="E2479" s="435" t="s">
        <v>6134</v>
      </c>
    </row>
    <row r="2480" spans="4:5">
      <c r="D2480" s="437" t="s">
        <v>6136</v>
      </c>
      <c r="E2480" s="435"/>
    </row>
    <row r="2481" spans="4:5">
      <c r="D2481" s="434" t="s">
        <v>6137</v>
      </c>
      <c r="E2481" s="435" t="s">
        <v>6138</v>
      </c>
    </row>
    <row r="2482" spans="4:5">
      <c r="D2482" s="437" t="s">
        <v>6139</v>
      </c>
      <c r="E2482" s="435"/>
    </row>
    <row r="2483" spans="4:5">
      <c r="D2483" s="434" t="s">
        <v>6140</v>
      </c>
      <c r="E2483" s="435" t="s">
        <v>6141</v>
      </c>
    </row>
    <row r="2484" spans="4:5">
      <c r="D2484" s="437" t="s">
        <v>6142</v>
      </c>
      <c r="E2484" s="435"/>
    </row>
    <row r="2485" spans="4:5">
      <c r="D2485" s="434" t="s">
        <v>6143</v>
      </c>
      <c r="E2485" s="435" t="s">
        <v>6144</v>
      </c>
    </row>
    <row r="2486" spans="4:5">
      <c r="D2486" s="434" t="s">
        <v>6145</v>
      </c>
      <c r="E2486" s="435" t="s">
        <v>6146</v>
      </c>
    </row>
    <row r="2487" spans="4:5">
      <c r="D2487" s="434" t="s">
        <v>6147</v>
      </c>
      <c r="E2487" s="435" t="s">
        <v>6144</v>
      </c>
    </row>
    <row r="2488" spans="4:5">
      <c r="D2488" s="437" t="s">
        <v>6148</v>
      </c>
      <c r="E2488" s="435"/>
    </row>
    <row r="2489" spans="4:5">
      <c r="D2489" s="437" t="s">
        <v>6149</v>
      </c>
      <c r="E2489" s="435"/>
    </row>
    <row r="2490" spans="4:5">
      <c r="D2490" s="434" t="s">
        <v>6150</v>
      </c>
      <c r="E2490" s="435" t="s">
        <v>6151</v>
      </c>
    </row>
    <row r="2491" spans="4:5">
      <c r="D2491" s="434" t="s">
        <v>6152</v>
      </c>
      <c r="E2491" s="435" t="s">
        <v>6151</v>
      </c>
    </row>
    <row r="2492" spans="4:5">
      <c r="D2492" s="437" t="s">
        <v>6153</v>
      </c>
      <c r="E2492" s="435"/>
    </row>
    <row r="2493" spans="4:5">
      <c r="D2493" s="437" t="s">
        <v>6154</v>
      </c>
      <c r="E2493" s="435"/>
    </row>
    <row r="2494" spans="4:5">
      <c r="D2494" s="434" t="s">
        <v>6155</v>
      </c>
      <c r="E2494" s="435" t="s">
        <v>6156</v>
      </c>
    </row>
    <row r="2495" spans="4:5">
      <c r="D2495" s="437" t="s">
        <v>6157</v>
      </c>
      <c r="E2495" s="435"/>
    </row>
    <row r="2496" spans="4:5">
      <c r="D2496" s="434" t="s">
        <v>6158</v>
      </c>
      <c r="E2496" s="435" t="s">
        <v>6159</v>
      </c>
    </row>
    <row r="2497" spans="4:5">
      <c r="D2497" s="434" t="s">
        <v>6160</v>
      </c>
      <c r="E2497" s="435" t="s">
        <v>6159</v>
      </c>
    </row>
    <row r="2498" spans="4:5">
      <c r="D2498" s="437" t="s">
        <v>6161</v>
      </c>
      <c r="E2498" s="435"/>
    </row>
    <row r="2499" spans="4:5">
      <c r="D2499" s="434" t="s">
        <v>6162</v>
      </c>
      <c r="E2499" s="435" t="s">
        <v>6159</v>
      </c>
    </row>
    <row r="2500" spans="4:5">
      <c r="D2500" s="437" t="s">
        <v>6163</v>
      </c>
      <c r="E2500" s="435"/>
    </row>
    <row r="2501" spans="4:5">
      <c r="D2501" s="434" t="s">
        <v>686</v>
      </c>
      <c r="E2501" s="435" t="s">
        <v>6164</v>
      </c>
    </row>
    <row r="2502" spans="4:5">
      <c r="D2502" s="437" t="s">
        <v>6165</v>
      </c>
      <c r="E2502" s="435"/>
    </row>
    <row r="2503" spans="4:5">
      <c r="D2503" s="437" t="s">
        <v>6166</v>
      </c>
      <c r="E2503" s="435"/>
    </row>
    <row r="2504" spans="4:5">
      <c r="D2504" s="437" t="s">
        <v>6167</v>
      </c>
      <c r="E2504" s="435"/>
    </row>
    <row r="2505" spans="4:5">
      <c r="D2505" s="434" t="s">
        <v>6168</v>
      </c>
      <c r="E2505" s="435" t="s">
        <v>6169</v>
      </c>
    </row>
    <row r="2506" spans="4:5">
      <c r="D2506" s="434" t="s">
        <v>6170</v>
      </c>
      <c r="E2506" s="435" t="s">
        <v>6169</v>
      </c>
    </row>
    <row r="2507" spans="4:5">
      <c r="D2507" s="437" t="s">
        <v>6171</v>
      </c>
      <c r="E2507" s="435"/>
    </row>
    <row r="2508" spans="4:5">
      <c r="D2508" s="437" t="s">
        <v>6172</v>
      </c>
      <c r="E2508" s="435"/>
    </row>
    <row r="2509" spans="4:5">
      <c r="D2509" s="437" t="s">
        <v>6173</v>
      </c>
      <c r="E2509" s="435"/>
    </row>
    <row r="2510" spans="4:5">
      <c r="D2510" s="437" t="s">
        <v>6174</v>
      </c>
      <c r="E2510" s="435"/>
    </row>
    <row r="2511" spans="4:5">
      <c r="D2511" s="434" t="s">
        <v>6175</v>
      </c>
      <c r="E2511" s="435" t="s">
        <v>6176</v>
      </c>
    </row>
    <row r="2512" spans="4:5">
      <c r="D2512" s="437" t="s">
        <v>6177</v>
      </c>
      <c r="E2512" s="435"/>
    </row>
    <row r="2513" spans="4:5">
      <c r="D2513" s="434" t="s">
        <v>6178</v>
      </c>
      <c r="E2513" s="435" t="s">
        <v>6179</v>
      </c>
    </row>
    <row r="2514" spans="4:5">
      <c r="D2514" s="434" t="s">
        <v>6180</v>
      </c>
      <c r="E2514" s="435" t="s">
        <v>6179</v>
      </c>
    </row>
    <row r="2515" spans="4:5">
      <c r="D2515" s="437" t="s">
        <v>6181</v>
      </c>
      <c r="E2515" s="435"/>
    </row>
    <row r="2516" spans="4:5">
      <c r="D2516" s="437" t="s">
        <v>6182</v>
      </c>
      <c r="E2516" s="435"/>
    </row>
    <row r="2517" spans="4:5">
      <c r="D2517" s="437" t="s">
        <v>6183</v>
      </c>
      <c r="E2517" s="435"/>
    </row>
    <row r="2518" spans="4:5">
      <c r="D2518" s="434" t="s">
        <v>6184</v>
      </c>
      <c r="E2518" s="435" t="s">
        <v>6179</v>
      </c>
    </row>
    <row r="2519" spans="4:5">
      <c r="D2519" s="437" t="s">
        <v>6185</v>
      </c>
      <c r="E2519" s="435"/>
    </row>
    <row r="2520" spans="4:5">
      <c r="D2520" s="437" t="s">
        <v>6186</v>
      </c>
      <c r="E2520" s="435"/>
    </row>
    <row r="2521" spans="4:5">
      <c r="D2521" s="437" t="s">
        <v>6187</v>
      </c>
      <c r="E2521" s="435"/>
    </row>
    <row r="2522" spans="4:5">
      <c r="D2522" s="437" t="s">
        <v>6188</v>
      </c>
      <c r="E2522" s="435"/>
    </row>
    <row r="2523" spans="4:5">
      <c r="D2523" s="437" t="s">
        <v>6189</v>
      </c>
      <c r="E2523" s="435"/>
    </row>
    <row r="2524" spans="4:5">
      <c r="D2524" s="437" t="s">
        <v>6190</v>
      </c>
      <c r="E2524" s="435"/>
    </row>
    <row r="2525" spans="4:5">
      <c r="D2525" s="437" t="s">
        <v>6191</v>
      </c>
      <c r="E2525" s="435"/>
    </row>
    <row r="2526" spans="4:5">
      <c r="D2526" s="437" t="s">
        <v>6192</v>
      </c>
      <c r="E2526" s="435"/>
    </row>
    <row r="2527" spans="4:5">
      <c r="D2527" s="437" t="s">
        <v>6193</v>
      </c>
      <c r="E2527" s="435"/>
    </row>
    <row r="2528" spans="4:5">
      <c r="D2528" s="434" t="s">
        <v>6194</v>
      </c>
      <c r="E2528" s="435" t="s">
        <v>6195</v>
      </c>
    </row>
    <row r="2529" spans="4:5">
      <c r="D2529" s="434" t="s">
        <v>6196</v>
      </c>
      <c r="E2529" s="435" t="s">
        <v>6195</v>
      </c>
    </row>
    <row r="2530" spans="4:5">
      <c r="D2530" s="437" t="s">
        <v>6197</v>
      </c>
      <c r="E2530" s="435"/>
    </row>
    <row r="2531" spans="4:5">
      <c r="D2531" s="437" t="s">
        <v>6198</v>
      </c>
      <c r="E2531" s="435"/>
    </row>
    <row r="2532" spans="4:5">
      <c r="D2532" s="434" t="s">
        <v>6199</v>
      </c>
      <c r="E2532" s="435" t="s">
        <v>6200</v>
      </c>
    </row>
    <row r="2533" spans="4:5">
      <c r="D2533" s="434" t="s">
        <v>6201</v>
      </c>
      <c r="E2533" s="435" t="s">
        <v>6200</v>
      </c>
    </row>
    <row r="2534" spans="4:5">
      <c r="D2534" s="437" t="s">
        <v>6202</v>
      </c>
      <c r="E2534" s="435"/>
    </row>
    <row r="2535" spans="4:5">
      <c r="D2535" s="437" t="s">
        <v>6203</v>
      </c>
      <c r="E2535" s="435"/>
    </row>
    <row r="2536" spans="4:5">
      <c r="D2536" s="437" t="s">
        <v>6204</v>
      </c>
      <c r="E2536" s="435"/>
    </row>
    <row r="2537" spans="4:5">
      <c r="D2537" s="434" t="s">
        <v>6205</v>
      </c>
      <c r="E2537" s="435" t="s">
        <v>6206</v>
      </c>
    </row>
    <row r="2538" spans="4:5">
      <c r="D2538" s="437" t="s">
        <v>6207</v>
      </c>
      <c r="E2538" s="435"/>
    </row>
    <row r="2539" spans="4:5">
      <c r="D2539" s="434" t="s">
        <v>6208</v>
      </c>
      <c r="E2539" s="435" t="s">
        <v>6209</v>
      </c>
    </row>
    <row r="2540" spans="4:5">
      <c r="D2540" s="434" t="s">
        <v>6210</v>
      </c>
      <c r="E2540" s="435" t="s">
        <v>6209</v>
      </c>
    </row>
    <row r="2541" spans="4:5">
      <c r="D2541" s="437" t="s">
        <v>6211</v>
      </c>
      <c r="E2541" s="435"/>
    </row>
    <row r="2542" spans="4:5">
      <c r="D2542" s="437" t="s">
        <v>6212</v>
      </c>
      <c r="E2542" s="435"/>
    </row>
    <row r="2543" spans="4:5">
      <c r="D2543" s="437" t="s">
        <v>6213</v>
      </c>
      <c r="E2543" s="435"/>
    </row>
    <row r="2544" spans="4:5">
      <c r="D2544" s="434" t="s">
        <v>6214</v>
      </c>
      <c r="E2544" s="435" t="s">
        <v>6215</v>
      </c>
    </row>
    <row r="2545" spans="4:5">
      <c r="D2545" s="434" t="s">
        <v>6216</v>
      </c>
      <c r="E2545" s="435" t="s">
        <v>6215</v>
      </c>
    </row>
    <row r="2546" spans="4:5">
      <c r="D2546" s="437" t="s">
        <v>6217</v>
      </c>
      <c r="E2546" s="435"/>
    </row>
    <row r="2547" spans="4:5">
      <c r="D2547" s="437" t="s">
        <v>6218</v>
      </c>
      <c r="E2547" s="435"/>
    </row>
    <row r="2548" spans="4:5">
      <c r="D2548" s="434" t="s">
        <v>6219</v>
      </c>
      <c r="E2548" s="435" t="s">
        <v>6220</v>
      </c>
    </row>
    <row r="2549" spans="4:5">
      <c r="D2549" s="437" t="s">
        <v>6221</v>
      </c>
      <c r="E2549" s="435"/>
    </row>
    <row r="2550" spans="4:5">
      <c r="D2550" s="437" t="s">
        <v>6222</v>
      </c>
      <c r="E2550" s="435"/>
    </row>
    <row r="2551" spans="4:5">
      <c r="D2551" s="434" t="s">
        <v>6223</v>
      </c>
      <c r="E2551" s="435" t="s">
        <v>6224</v>
      </c>
    </row>
    <row r="2552" spans="4:5">
      <c r="D2552" s="434" t="s">
        <v>6225</v>
      </c>
      <c r="E2552" s="435" t="s">
        <v>6226</v>
      </c>
    </row>
    <row r="2553" spans="4:5">
      <c r="D2553" s="434" t="s">
        <v>6227</v>
      </c>
      <c r="E2553" s="435" t="s">
        <v>6228</v>
      </c>
    </row>
    <row r="2554" spans="4:5">
      <c r="D2554" s="437" t="s">
        <v>6229</v>
      </c>
      <c r="E2554" s="435"/>
    </row>
    <row r="2555" spans="4:5">
      <c r="D2555" s="434" t="s">
        <v>6230</v>
      </c>
      <c r="E2555" s="435" t="s">
        <v>6231</v>
      </c>
    </row>
    <row r="2556" spans="4:5">
      <c r="D2556" s="434" t="s">
        <v>6232</v>
      </c>
      <c r="E2556" s="435" t="s">
        <v>6231</v>
      </c>
    </row>
    <row r="2557" spans="4:5">
      <c r="D2557" s="437" t="s">
        <v>6233</v>
      </c>
      <c r="E2557" s="435"/>
    </row>
    <row r="2558" spans="4:5">
      <c r="D2558" s="437" t="s">
        <v>6234</v>
      </c>
      <c r="E2558" s="435"/>
    </row>
    <row r="2559" spans="4:5">
      <c r="D2559" s="434" t="s">
        <v>6235</v>
      </c>
      <c r="E2559" s="435" t="s">
        <v>6236</v>
      </c>
    </row>
    <row r="2560" spans="4:5">
      <c r="D2560" s="437" t="s">
        <v>6237</v>
      </c>
      <c r="E2560" s="435"/>
    </row>
    <row r="2561" spans="4:5">
      <c r="D2561" s="437" t="s">
        <v>6238</v>
      </c>
      <c r="E2561" s="435"/>
    </row>
    <row r="2562" spans="4:5">
      <c r="D2562" s="437" t="s">
        <v>6239</v>
      </c>
      <c r="E2562" s="435"/>
    </row>
    <row r="2563" spans="4:5">
      <c r="D2563" s="437" t="s">
        <v>6240</v>
      </c>
      <c r="E2563" s="435"/>
    </row>
    <row r="2564" spans="4:5">
      <c r="D2564" s="434" t="s">
        <v>6241</v>
      </c>
      <c r="E2564" s="435" t="s">
        <v>6242</v>
      </c>
    </row>
    <row r="2565" spans="4:5">
      <c r="D2565" s="434" t="s">
        <v>6243</v>
      </c>
      <c r="E2565" s="435" t="s">
        <v>6244</v>
      </c>
    </row>
    <row r="2566" spans="4:5">
      <c r="D2566" s="437" t="s">
        <v>6245</v>
      </c>
      <c r="E2566" s="435"/>
    </row>
    <row r="2567" spans="4:5">
      <c r="D2567" s="437" t="s">
        <v>6246</v>
      </c>
      <c r="E2567" s="435"/>
    </row>
    <row r="2568" spans="4:5">
      <c r="D2568" s="437" t="s">
        <v>6247</v>
      </c>
      <c r="E2568" s="435"/>
    </row>
    <row r="2569" spans="4:5">
      <c r="D2569" s="437" t="s">
        <v>6248</v>
      </c>
      <c r="E2569" s="435"/>
    </row>
    <row r="2570" spans="4:5">
      <c r="D2570" s="437" t="s">
        <v>6249</v>
      </c>
      <c r="E2570" s="435"/>
    </row>
    <row r="2571" spans="4:5">
      <c r="D2571" s="437" t="s">
        <v>6250</v>
      </c>
      <c r="E2571" s="435"/>
    </row>
    <row r="2572" spans="4:5">
      <c r="D2572" s="437" t="s">
        <v>6251</v>
      </c>
      <c r="E2572" s="435"/>
    </row>
    <row r="2573" spans="4:5">
      <c r="D2573" s="437" t="s">
        <v>6252</v>
      </c>
      <c r="E2573" s="435"/>
    </row>
    <row r="2574" spans="4:5">
      <c r="D2574" s="437" t="s">
        <v>6253</v>
      </c>
      <c r="E2574" s="435"/>
    </row>
    <row r="2575" spans="4:5">
      <c r="D2575" s="434" t="s">
        <v>6254</v>
      </c>
      <c r="E2575" s="435" t="s">
        <v>6255</v>
      </c>
    </row>
    <row r="2576" spans="4:5">
      <c r="D2576" s="434" t="s">
        <v>6256</v>
      </c>
      <c r="E2576" s="435" t="s">
        <v>6257</v>
      </c>
    </row>
    <row r="2577" spans="4:5">
      <c r="D2577" s="437" t="s">
        <v>6258</v>
      </c>
      <c r="E2577" s="435"/>
    </row>
    <row r="2578" spans="4:5">
      <c r="D2578" s="437" t="s">
        <v>6259</v>
      </c>
      <c r="E2578" s="435"/>
    </row>
    <row r="2579" spans="4:5">
      <c r="D2579" s="434" t="s">
        <v>6260</v>
      </c>
      <c r="E2579" s="435" t="s">
        <v>6261</v>
      </c>
    </row>
    <row r="2580" spans="4:5">
      <c r="D2580" s="434" t="s">
        <v>6262</v>
      </c>
      <c r="E2580" s="435" t="s">
        <v>6261</v>
      </c>
    </row>
    <row r="2581" spans="4:5">
      <c r="D2581" s="434" t="s">
        <v>6263</v>
      </c>
      <c r="E2581" s="435" t="s">
        <v>6261</v>
      </c>
    </row>
    <row r="2582" spans="4:5">
      <c r="D2582" s="434" t="s">
        <v>1082</v>
      </c>
      <c r="E2582" s="435" t="s">
        <v>6264</v>
      </c>
    </row>
    <row r="2583" spans="4:5">
      <c r="D2583" s="434" t="s">
        <v>6265</v>
      </c>
      <c r="E2583" s="435" t="s">
        <v>6264</v>
      </c>
    </row>
    <row r="2584" spans="4:5">
      <c r="D2584" s="434" t="s">
        <v>6266</v>
      </c>
      <c r="E2584" s="435" t="s">
        <v>6264</v>
      </c>
    </row>
    <row r="2585" spans="4:5">
      <c r="D2585" s="437" t="s">
        <v>6267</v>
      </c>
      <c r="E2585" s="435"/>
    </row>
    <row r="2586" spans="4:5">
      <c r="D2586" s="434" t="s">
        <v>6268</v>
      </c>
      <c r="E2586" s="435" t="s">
        <v>6264</v>
      </c>
    </row>
    <row r="2587" spans="4:5">
      <c r="D2587" s="437" t="s">
        <v>6269</v>
      </c>
      <c r="E2587" s="435"/>
    </row>
    <row r="2588" spans="4:5">
      <c r="D2588" s="434" t="s">
        <v>6270</v>
      </c>
      <c r="E2588" s="435" t="s">
        <v>6264</v>
      </c>
    </row>
    <row r="2589" spans="4:5">
      <c r="D2589" s="437" t="s">
        <v>6271</v>
      </c>
      <c r="E2589" s="435"/>
    </row>
    <row r="2590" spans="4:5">
      <c r="D2590" s="437" t="s">
        <v>6272</v>
      </c>
      <c r="E2590" s="435"/>
    </row>
    <row r="2591" spans="4:5">
      <c r="D2591" s="437" t="s">
        <v>6273</v>
      </c>
      <c r="E2591" s="435"/>
    </row>
    <row r="2592" spans="4:5">
      <c r="D2592" s="434" t="s">
        <v>6274</v>
      </c>
      <c r="E2592" s="435" t="s">
        <v>6275</v>
      </c>
    </row>
    <row r="2593" spans="4:5">
      <c r="D2593" s="434" t="s">
        <v>6276</v>
      </c>
      <c r="E2593" s="435" t="s">
        <v>6275</v>
      </c>
    </row>
    <row r="2594" spans="4:5">
      <c r="D2594" s="437" t="s">
        <v>6277</v>
      </c>
      <c r="E2594" s="435"/>
    </row>
    <row r="2595" spans="4:5">
      <c r="D2595" s="437" t="s">
        <v>6278</v>
      </c>
      <c r="E2595" s="435"/>
    </row>
    <row r="2596" spans="4:5">
      <c r="D2596" s="437" t="s">
        <v>6279</v>
      </c>
      <c r="E2596" s="435"/>
    </row>
    <row r="2597" spans="4:5">
      <c r="D2597" s="434" t="s">
        <v>6280</v>
      </c>
      <c r="E2597" s="435" t="s">
        <v>6275</v>
      </c>
    </row>
    <row r="2598" spans="4:5">
      <c r="D2598" s="437" t="s">
        <v>6281</v>
      </c>
      <c r="E2598" s="435"/>
    </row>
    <row r="2599" spans="4:5">
      <c r="D2599" s="437" t="s">
        <v>6282</v>
      </c>
      <c r="E2599" s="435"/>
    </row>
    <row r="2600" spans="4:5">
      <c r="D2600" s="434" t="s">
        <v>6283</v>
      </c>
      <c r="E2600" s="435" t="s">
        <v>6284</v>
      </c>
    </row>
    <row r="2601" spans="4:5">
      <c r="D2601" s="437" t="s">
        <v>6285</v>
      </c>
      <c r="E2601" s="435"/>
    </row>
    <row r="2602" spans="4:5">
      <c r="D2602" s="434" t="s">
        <v>6286</v>
      </c>
      <c r="E2602" s="435" t="s">
        <v>6287</v>
      </c>
    </row>
    <row r="2603" spans="4:5">
      <c r="D2603" s="434" t="s">
        <v>6288</v>
      </c>
      <c r="E2603" s="435" t="s">
        <v>6287</v>
      </c>
    </row>
    <row r="2604" spans="4:5">
      <c r="D2604" s="437" t="s">
        <v>6289</v>
      </c>
      <c r="E2604" s="435"/>
    </row>
    <row r="2605" spans="4:5">
      <c r="D2605" s="437" t="s">
        <v>6290</v>
      </c>
      <c r="E2605" s="435"/>
    </row>
    <row r="2606" spans="4:5">
      <c r="D2606" s="437" t="s">
        <v>6291</v>
      </c>
      <c r="E2606" s="435"/>
    </row>
    <row r="2607" spans="4:5">
      <c r="D2607" s="437" t="s">
        <v>6292</v>
      </c>
      <c r="E2607" s="435"/>
    </row>
    <row r="2608" spans="4:5">
      <c r="D2608" s="437" t="s">
        <v>6293</v>
      </c>
      <c r="E2608" s="435"/>
    </row>
    <row r="2609" spans="4:5">
      <c r="D2609" s="437" t="s">
        <v>6294</v>
      </c>
      <c r="E2609" s="435"/>
    </row>
    <row r="2610" spans="4:5">
      <c r="D2610" s="434" t="s">
        <v>1080</v>
      </c>
      <c r="E2610" s="435" t="s">
        <v>6295</v>
      </c>
    </row>
    <row r="2611" spans="4:5">
      <c r="D2611" s="437" t="s">
        <v>6296</v>
      </c>
      <c r="E2611" s="435"/>
    </row>
    <row r="2612" spans="4:5">
      <c r="D2612" s="437" t="s">
        <v>6297</v>
      </c>
      <c r="E2612" s="435"/>
    </row>
    <row r="2613" spans="4:5">
      <c r="D2613" s="437" t="s">
        <v>6298</v>
      </c>
      <c r="E2613" s="435"/>
    </row>
    <row r="2614" spans="4:5">
      <c r="D2614" s="434" t="s">
        <v>6299</v>
      </c>
      <c r="E2614" s="435" t="s">
        <v>6300</v>
      </c>
    </row>
    <row r="2615" spans="4:5">
      <c r="D2615" s="437" t="s">
        <v>6301</v>
      </c>
      <c r="E2615" s="435"/>
    </row>
    <row r="2616" spans="4:5">
      <c r="D2616" s="437" t="s">
        <v>6302</v>
      </c>
      <c r="E2616" s="435"/>
    </row>
    <row r="2617" spans="4:5">
      <c r="D2617" s="437" t="s">
        <v>6303</v>
      </c>
      <c r="E2617" s="435"/>
    </row>
    <row r="2618" spans="4:5">
      <c r="D2618" s="437" t="s">
        <v>6304</v>
      </c>
      <c r="E2618" s="435"/>
    </row>
    <row r="2619" spans="4:5">
      <c r="D2619" s="434" t="s">
        <v>6305</v>
      </c>
      <c r="E2619" s="435" t="s">
        <v>6306</v>
      </c>
    </row>
    <row r="2620" spans="4:5">
      <c r="D2620" s="434" t="s">
        <v>6307</v>
      </c>
      <c r="E2620" s="435" t="s">
        <v>6306</v>
      </c>
    </row>
    <row r="2621" spans="4:5">
      <c r="D2621" s="437" t="s">
        <v>6308</v>
      </c>
      <c r="E2621" s="435"/>
    </row>
    <row r="2622" spans="4:5">
      <c r="D2622" s="437" t="s">
        <v>6309</v>
      </c>
      <c r="E2622" s="435"/>
    </row>
    <row r="2623" spans="4:5">
      <c r="D2623" s="437" t="s">
        <v>6310</v>
      </c>
      <c r="E2623" s="435"/>
    </row>
    <row r="2624" spans="4:5">
      <c r="D2624" s="437" t="s">
        <v>6311</v>
      </c>
      <c r="E2624" s="435"/>
    </row>
    <row r="2625" spans="4:5">
      <c r="D2625" s="434" t="s">
        <v>6312</v>
      </c>
      <c r="E2625" s="435" t="s">
        <v>6313</v>
      </c>
    </row>
    <row r="2626" spans="4:5">
      <c r="D2626" s="434" t="s">
        <v>6314</v>
      </c>
      <c r="E2626" s="435" t="s">
        <v>6315</v>
      </c>
    </row>
    <row r="2627" spans="4:5">
      <c r="D2627" s="434" t="s">
        <v>6316</v>
      </c>
      <c r="E2627" s="435" t="s">
        <v>6315</v>
      </c>
    </row>
    <row r="2628" spans="4:5">
      <c r="D2628" s="434" t="s">
        <v>6317</v>
      </c>
      <c r="E2628" s="435" t="s">
        <v>6315</v>
      </c>
    </row>
    <row r="2629" spans="4:5">
      <c r="D2629" s="434" t="s">
        <v>6318</v>
      </c>
      <c r="E2629" s="435" t="s">
        <v>6319</v>
      </c>
    </row>
    <row r="2630" spans="4:5">
      <c r="D2630" s="437" t="s">
        <v>6320</v>
      </c>
      <c r="E2630" s="435"/>
    </row>
    <row r="2631" spans="4:5">
      <c r="D2631" s="437" t="s">
        <v>6321</v>
      </c>
      <c r="E2631" s="435"/>
    </row>
    <row r="2632" spans="4:5">
      <c r="D2632" s="434" t="s">
        <v>6322</v>
      </c>
      <c r="E2632" s="435" t="s">
        <v>6323</v>
      </c>
    </row>
    <row r="2633" spans="4:5">
      <c r="D2633" s="437" t="s">
        <v>6324</v>
      </c>
      <c r="E2633" s="435"/>
    </row>
    <row r="2634" spans="4:5">
      <c r="D2634" s="437" t="s">
        <v>6325</v>
      </c>
      <c r="E2634" s="435"/>
    </row>
    <row r="2635" spans="4:5">
      <c r="D2635" s="437" t="s">
        <v>6326</v>
      </c>
      <c r="E2635" s="435"/>
    </row>
    <row r="2636" spans="4:5">
      <c r="D2636" s="434" t="s">
        <v>6327</v>
      </c>
      <c r="E2636" s="435" t="s">
        <v>6328</v>
      </c>
    </row>
    <row r="2637" spans="4:5">
      <c r="D2637" s="437" t="s">
        <v>6329</v>
      </c>
      <c r="E2637" s="435"/>
    </row>
    <row r="2638" spans="4:5">
      <c r="D2638" s="437" t="s">
        <v>6330</v>
      </c>
      <c r="E2638" s="435"/>
    </row>
    <row r="2639" spans="4:5">
      <c r="D2639" s="434" t="s">
        <v>6331</v>
      </c>
      <c r="E2639" s="435" t="s">
        <v>6332</v>
      </c>
    </row>
    <row r="2640" spans="4:5">
      <c r="D2640" s="437" t="s">
        <v>6333</v>
      </c>
      <c r="E2640" s="435"/>
    </row>
    <row r="2641" spans="4:5">
      <c r="D2641" s="437" t="s">
        <v>6334</v>
      </c>
      <c r="E2641" s="435"/>
    </row>
    <row r="2642" spans="4:5">
      <c r="D2642" s="437" t="s">
        <v>6335</v>
      </c>
      <c r="E2642" s="435"/>
    </row>
    <row r="2643" spans="4:5">
      <c r="D2643" s="437" t="s">
        <v>6336</v>
      </c>
      <c r="E2643" s="435"/>
    </row>
    <row r="2644" spans="4:5">
      <c r="D2644" s="437" t="s">
        <v>6337</v>
      </c>
      <c r="E2644" s="435"/>
    </row>
    <row r="2645" spans="4:5">
      <c r="D2645" s="434" t="s">
        <v>6338</v>
      </c>
      <c r="E2645" s="435" t="s">
        <v>6339</v>
      </c>
    </row>
    <row r="2646" spans="4:5">
      <c r="D2646" s="437" t="s">
        <v>6340</v>
      </c>
      <c r="E2646" s="435"/>
    </row>
    <row r="2647" spans="4:5">
      <c r="D2647" s="437" t="s">
        <v>6341</v>
      </c>
      <c r="E2647" s="435"/>
    </row>
    <row r="2648" spans="4:5">
      <c r="D2648" s="437" t="s">
        <v>6342</v>
      </c>
      <c r="E2648" s="435"/>
    </row>
    <row r="2649" spans="4:5">
      <c r="D2649" s="434" t="s">
        <v>6343</v>
      </c>
      <c r="E2649" s="435" t="s">
        <v>6344</v>
      </c>
    </row>
    <row r="2650" spans="4:5">
      <c r="D2650" s="437" t="s">
        <v>6345</v>
      </c>
      <c r="E2650" s="435"/>
    </row>
    <row r="2651" spans="4:5">
      <c r="D2651" s="437" t="s">
        <v>6346</v>
      </c>
      <c r="E2651" s="435"/>
    </row>
    <row r="2652" spans="4:5">
      <c r="D2652" s="437" t="s">
        <v>6347</v>
      </c>
      <c r="E2652" s="435"/>
    </row>
    <row r="2653" spans="4:5">
      <c r="D2653" s="434" t="s">
        <v>6348</v>
      </c>
      <c r="E2653" s="435"/>
    </row>
    <row r="2654" spans="4:5">
      <c r="D2654" s="434" t="s">
        <v>6349</v>
      </c>
      <c r="E2654" s="435" t="s">
        <v>6350</v>
      </c>
    </row>
    <row r="2655" spans="4:5">
      <c r="D2655" s="434" t="s">
        <v>6351</v>
      </c>
      <c r="E2655" s="435" t="s">
        <v>6350</v>
      </c>
    </row>
    <row r="2656" spans="4:5">
      <c r="D2656" s="437" t="s">
        <v>6352</v>
      </c>
      <c r="E2656" s="435"/>
    </row>
    <row r="2657" spans="4:5">
      <c r="D2657" s="434" t="s">
        <v>6353</v>
      </c>
      <c r="E2657" s="435" t="s">
        <v>6354</v>
      </c>
    </row>
    <row r="2658" spans="4:5">
      <c r="D2658" s="434" t="s">
        <v>6355</v>
      </c>
      <c r="E2658" s="435" t="s">
        <v>6356</v>
      </c>
    </row>
    <row r="2659" spans="4:5">
      <c r="D2659" s="434" t="s">
        <v>6357</v>
      </c>
      <c r="E2659" s="435" t="s">
        <v>6358</v>
      </c>
    </row>
    <row r="2660" spans="4:5">
      <c r="D2660" s="437" t="s">
        <v>6359</v>
      </c>
      <c r="E2660" s="435"/>
    </row>
    <row r="2661" spans="4:5">
      <c r="D2661" s="437" t="s">
        <v>6360</v>
      </c>
      <c r="E2661" s="435"/>
    </row>
    <row r="2662" spans="4:5">
      <c r="D2662" s="434" t="s">
        <v>6361</v>
      </c>
      <c r="E2662" s="435" t="s">
        <v>6362</v>
      </c>
    </row>
    <row r="2663" spans="4:5">
      <c r="D2663" s="437" t="s">
        <v>6363</v>
      </c>
      <c r="E2663" s="435"/>
    </row>
    <row r="2664" spans="4:5">
      <c r="D2664" s="437" t="s">
        <v>6364</v>
      </c>
      <c r="E2664" s="435"/>
    </row>
    <row r="2665" spans="4:5">
      <c r="D2665" s="437" t="s">
        <v>6365</v>
      </c>
      <c r="E2665" s="435"/>
    </row>
    <row r="2666" spans="4:5">
      <c r="D2666" s="437" t="s">
        <v>6366</v>
      </c>
      <c r="E2666" s="435"/>
    </row>
    <row r="2667" spans="4:5">
      <c r="D2667" s="437" t="s">
        <v>6367</v>
      </c>
      <c r="E2667" s="435"/>
    </row>
    <row r="2668" spans="4:5">
      <c r="D2668" s="437" t="s">
        <v>6368</v>
      </c>
      <c r="E2668" s="435"/>
    </row>
    <row r="2669" spans="4:5">
      <c r="D2669" s="434" t="s">
        <v>6369</v>
      </c>
      <c r="E2669" s="435" t="s">
        <v>6370</v>
      </c>
    </row>
    <row r="2670" spans="4:5">
      <c r="D2670" s="437" t="s">
        <v>6371</v>
      </c>
      <c r="E2670" s="435"/>
    </row>
    <row r="2671" spans="4:5">
      <c r="D2671" s="437" t="s">
        <v>6372</v>
      </c>
      <c r="E2671" s="435"/>
    </row>
    <row r="2672" spans="4:5">
      <c r="D2672" s="437" t="s">
        <v>6373</v>
      </c>
      <c r="E2672" s="435"/>
    </row>
    <row r="2673" spans="4:5">
      <c r="D2673" s="434" t="s">
        <v>6374</v>
      </c>
      <c r="E2673" s="435" t="s">
        <v>6375</v>
      </c>
    </row>
    <row r="2674" spans="4:5">
      <c r="D2674" s="437" t="s">
        <v>6376</v>
      </c>
      <c r="E2674" s="435"/>
    </row>
    <row r="2675" spans="4:5">
      <c r="D2675" s="437" t="s">
        <v>6377</v>
      </c>
      <c r="E2675" s="435"/>
    </row>
    <row r="2676" spans="4:5">
      <c r="D2676" s="434" t="s">
        <v>6378</v>
      </c>
      <c r="E2676" s="435" t="s">
        <v>6379</v>
      </c>
    </row>
    <row r="2677" spans="4:5">
      <c r="D2677" s="437" t="s">
        <v>6380</v>
      </c>
      <c r="E2677" s="435"/>
    </row>
    <row r="2678" spans="4:5">
      <c r="D2678" s="434" t="s">
        <v>536</v>
      </c>
      <c r="E2678" s="435" t="s">
        <v>6381</v>
      </c>
    </row>
    <row r="2679" spans="4:5">
      <c r="D2679" s="437" t="s">
        <v>6382</v>
      </c>
      <c r="E2679" s="435"/>
    </row>
    <row r="2680" spans="4:5">
      <c r="D2680" s="434" t="s">
        <v>6383</v>
      </c>
      <c r="E2680" s="435" t="s">
        <v>6384</v>
      </c>
    </row>
    <row r="2681" spans="4:5">
      <c r="D2681" s="434" t="s">
        <v>6385</v>
      </c>
      <c r="E2681" s="435" t="s">
        <v>6384</v>
      </c>
    </row>
    <row r="2682" spans="4:5">
      <c r="D2682" s="437" t="s">
        <v>6386</v>
      </c>
      <c r="E2682" s="435"/>
    </row>
    <row r="2683" spans="4:5">
      <c r="D2683" s="434" t="s">
        <v>6387</v>
      </c>
      <c r="E2683" s="435" t="s">
        <v>6388</v>
      </c>
    </row>
    <row r="2684" spans="4:5">
      <c r="D2684" s="434" t="s">
        <v>6389</v>
      </c>
      <c r="E2684" s="435" t="s">
        <v>6388</v>
      </c>
    </row>
    <row r="2685" spans="4:5">
      <c r="D2685" s="434" t="s">
        <v>6390</v>
      </c>
      <c r="E2685" s="435" t="s">
        <v>6388</v>
      </c>
    </row>
    <row r="2686" spans="4:5">
      <c r="D2686" s="437" t="s">
        <v>6391</v>
      </c>
      <c r="E2686" s="435"/>
    </row>
    <row r="2687" spans="4:5">
      <c r="D2687" s="437" t="s">
        <v>6392</v>
      </c>
      <c r="E2687" s="435"/>
    </row>
    <row r="2688" spans="4:5">
      <c r="D2688" s="437" t="s">
        <v>6393</v>
      </c>
      <c r="E2688" s="435"/>
    </row>
    <row r="2689" spans="4:5">
      <c r="D2689" s="437" t="s">
        <v>6394</v>
      </c>
      <c r="E2689" s="435"/>
    </row>
    <row r="2690" spans="4:5">
      <c r="D2690" s="437" t="s">
        <v>6395</v>
      </c>
      <c r="E2690" s="435"/>
    </row>
    <row r="2691" spans="4:5">
      <c r="D2691" s="437" t="s">
        <v>6396</v>
      </c>
      <c r="E2691" s="435"/>
    </row>
    <row r="2692" spans="4:5">
      <c r="D2692" s="437" t="s">
        <v>6397</v>
      </c>
      <c r="E2692" s="435"/>
    </row>
    <row r="2693" spans="4:5">
      <c r="D2693" s="437" t="s">
        <v>6398</v>
      </c>
      <c r="E2693" s="435"/>
    </row>
    <row r="2694" spans="4:5">
      <c r="D2694" s="437" t="s">
        <v>6399</v>
      </c>
      <c r="E2694" s="435"/>
    </row>
    <row r="2695" spans="4:5">
      <c r="D2695" s="437" t="s">
        <v>6400</v>
      </c>
      <c r="E2695" s="435"/>
    </row>
    <row r="2696" spans="4:5">
      <c r="D2696" s="437" t="s">
        <v>6401</v>
      </c>
      <c r="E2696" s="435"/>
    </row>
    <row r="2697" spans="4:5">
      <c r="D2697" s="437" t="s">
        <v>6402</v>
      </c>
      <c r="E2697" s="435"/>
    </row>
    <row r="2698" spans="4:5">
      <c r="D2698" s="437" t="s">
        <v>6403</v>
      </c>
      <c r="E2698" s="435"/>
    </row>
    <row r="2699" spans="4:5">
      <c r="D2699" s="437" t="s">
        <v>6404</v>
      </c>
      <c r="E2699" s="435"/>
    </row>
    <row r="2700" spans="4:5">
      <c r="D2700" s="437" t="s">
        <v>6405</v>
      </c>
      <c r="E2700" s="435"/>
    </row>
    <row r="2701" spans="4:5">
      <c r="D2701" s="437" t="s">
        <v>6406</v>
      </c>
      <c r="E2701" s="435"/>
    </row>
    <row r="2702" spans="4:5">
      <c r="D2702" s="437" t="s">
        <v>6407</v>
      </c>
      <c r="E2702" s="435"/>
    </row>
    <row r="2703" spans="4:5">
      <c r="D2703" s="437" t="s">
        <v>6408</v>
      </c>
      <c r="E2703" s="435"/>
    </row>
    <row r="2704" spans="4:5">
      <c r="D2704" s="437" t="s">
        <v>6409</v>
      </c>
      <c r="E2704" s="435"/>
    </row>
    <row r="2705" spans="4:5">
      <c r="D2705" s="437" t="s">
        <v>6410</v>
      </c>
      <c r="E2705" s="435"/>
    </row>
    <row r="2706" spans="4:5">
      <c r="D2706" s="437" t="s">
        <v>6411</v>
      </c>
      <c r="E2706" s="435"/>
    </row>
    <row r="2707" spans="4:5">
      <c r="D2707" s="437" t="s">
        <v>6412</v>
      </c>
      <c r="E2707" s="435"/>
    </row>
    <row r="2708" spans="4:5">
      <c r="D2708" s="437" t="s">
        <v>6413</v>
      </c>
      <c r="E2708" s="435"/>
    </row>
    <row r="2709" spans="4:5">
      <c r="D2709" s="437" t="s">
        <v>6414</v>
      </c>
      <c r="E2709" s="435"/>
    </row>
    <row r="2710" spans="4:5">
      <c r="D2710" s="437" t="s">
        <v>6415</v>
      </c>
      <c r="E2710" s="435"/>
    </row>
    <row r="2711" spans="4:5">
      <c r="D2711" s="437" t="s">
        <v>6416</v>
      </c>
      <c r="E2711" s="435"/>
    </row>
    <row r="2712" spans="4:5">
      <c r="D2712" s="437" t="s">
        <v>6417</v>
      </c>
      <c r="E2712" s="435"/>
    </row>
    <row r="2713" spans="4:5">
      <c r="D2713" s="437" t="s">
        <v>6418</v>
      </c>
      <c r="E2713" s="435"/>
    </row>
    <row r="2714" spans="4:5">
      <c r="D2714" s="437" t="s">
        <v>6419</v>
      </c>
      <c r="E2714" s="435"/>
    </row>
    <row r="2715" spans="4:5">
      <c r="D2715" s="437" t="s">
        <v>6420</v>
      </c>
      <c r="E2715" s="435"/>
    </row>
    <row r="2716" spans="4:5">
      <c r="D2716" s="437" t="s">
        <v>6421</v>
      </c>
      <c r="E2716" s="435"/>
    </row>
    <row r="2717" spans="4:5">
      <c r="D2717" s="437" t="s">
        <v>6422</v>
      </c>
      <c r="E2717" s="435"/>
    </row>
    <row r="2718" spans="4:5">
      <c r="D2718" s="437" t="s">
        <v>6423</v>
      </c>
      <c r="E2718" s="435"/>
    </row>
    <row r="2719" spans="4:5">
      <c r="D2719" s="434" t="s">
        <v>6424</v>
      </c>
      <c r="E2719" s="435" t="s">
        <v>6425</v>
      </c>
    </row>
    <row r="2720" spans="4:5">
      <c r="D2720" s="434" t="s">
        <v>6426</v>
      </c>
      <c r="E2720" s="435" t="s">
        <v>6425</v>
      </c>
    </row>
    <row r="2721" spans="4:5">
      <c r="D2721" s="434" t="s">
        <v>6427</v>
      </c>
      <c r="E2721" s="435" t="s">
        <v>6425</v>
      </c>
    </row>
    <row r="2722" spans="4:5">
      <c r="D2722" s="437" t="s">
        <v>6428</v>
      </c>
      <c r="E2722" s="435"/>
    </row>
    <row r="2723" spans="4:5">
      <c r="D2723" s="437" t="s">
        <v>6429</v>
      </c>
      <c r="E2723" s="435"/>
    </row>
    <row r="2724" spans="4:5">
      <c r="D2724" s="437" t="s">
        <v>6430</v>
      </c>
      <c r="E2724" s="435"/>
    </row>
    <row r="2725" spans="4:5">
      <c r="D2725" s="437" t="s">
        <v>6431</v>
      </c>
      <c r="E2725" s="435"/>
    </row>
    <row r="2726" spans="4:5">
      <c r="D2726" s="434" t="s">
        <v>6432</v>
      </c>
      <c r="E2726" s="435" t="s">
        <v>6425</v>
      </c>
    </row>
    <row r="2727" spans="4:5">
      <c r="D2727" s="437" t="s">
        <v>6433</v>
      </c>
      <c r="E2727" s="435"/>
    </row>
    <row r="2728" spans="4:5">
      <c r="D2728" s="437" t="s">
        <v>6434</v>
      </c>
      <c r="E2728" s="435"/>
    </row>
    <row r="2729" spans="4:5">
      <c r="D2729" s="437" t="s">
        <v>6435</v>
      </c>
      <c r="E2729" s="435"/>
    </row>
    <row r="2730" spans="4:5">
      <c r="D2730" s="437" t="s">
        <v>6436</v>
      </c>
      <c r="E2730" s="435"/>
    </row>
    <row r="2731" spans="4:5">
      <c r="D2731" s="437" t="s">
        <v>6437</v>
      </c>
      <c r="E2731" s="435"/>
    </row>
    <row r="2732" spans="4:5">
      <c r="D2732" s="437" t="s">
        <v>6438</v>
      </c>
      <c r="E2732" s="435"/>
    </row>
    <row r="2733" spans="4:5">
      <c r="D2733" s="437" t="s">
        <v>6439</v>
      </c>
      <c r="E2733" s="435"/>
    </row>
    <row r="2734" spans="4:5">
      <c r="D2734" s="437" t="s">
        <v>6440</v>
      </c>
      <c r="E2734" s="435"/>
    </row>
    <row r="2735" spans="4:5">
      <c r="D2735" s="437" t="s">
        <v>6441</v>
      </c>
      <c r="E2735" s="435"/>
    </row>
    <row r="2736" spans="4:5">
      <c r="D2736" s="437" t="s">
        <v>6442</v>
      </c>
      <c r="E2736" s="435"/>
    </row>
    <row r="2737" spans="4:5">
      <c r="D2737" s="437" t="s">
        <v>6443</v>
      </c>
      <c r="E2737" s="435"/>
    </row>
    <row r="2738" spans="4:5">
      <c r="D2738" s="437" t="s">
        <v>6444</v>
      </c>
      <c r="E2738" s="435"/>
    </row>
    <row r="2739" spans="4:5">
      <c r="D2739" s="437" t="s">
        <v>6445</v>
      </c>
      <c r="E2739" s="435"/>
    </row>
    <row r="2740" spans="4:5">
      <c r="D2740" s="437" t="s">
        <v>6446</v>
      </c>
      <c r="E2740" s="435"/>
    </row>
    <row r="2741" spans="4:5">
      <c r="D2741" s="437" t="s">
        <v>6447</v>
      </c>
      <c r="E2741" s="435"/>
    </row>
    <row r="2742" spans="4:5">
      <c r="D2742" s="437" t="s">
        <v>6448</v>
      </c>
      <c r="E2742" s="435"/>
    </row>
    <row r="2743" spans="4:5">
      <c r="D2743" s="437" t="s">
        <v>6449</v>
      </c>
      <c r="E2743" s="435"/>
    </row>
    <row r="2744" spans="4:5">
      <c r="D2744" s="437" t="s">
        <v>6450</v>
      </c>
      <c r="E2744" s="435"/>
    </row>
    <row r="2745" spans="4:5">
      <c r="D2745" s="437" t="s">
        <v>6451</v>
      </c>
      <c r="E2745" s="435"/>
    </row>
    <row r="2746" spans="4:5">
      <c r="D2746" s="437" t="s">
        <v>6452</v>
      </c>
      <c r="E2746" s="435"/>
    </row>
    <row r="2747" spans="4:5">
      <c r="D2747" s="437" t="s">
        <v>6453</v>
      </c>
      <c r="E2747" s="435"/>
    </row>
    <row r="2748" spans="4:5">
      <c r="D2748" s="437" t="s">
        <v>6454</v>
      </c>
      <c r="E2748" s="435"/>
    </row>
    <row r="2749" spans="4:5">
      <c r="D2749" s="437" t="s">
        <v>6455</v>
      </c>
      <c r="E2749" s="435"/>
    </row>
    <row r="2750" spans="4:5">
      <c r="D2750" s="437" t="s">
        <v>6456</v>
      </c>
      <c r="E2750" s="435"/>
    </row>
    <row r="2751" spans="4:5">
      <c r="D2751" s="437" t="s">
        <v>6457</v>
      </c>
      <c r="E2751" s="435"/>
    </row>
    <row r="2752" spans="4:5">
      <c r="D2752" s="437" t="s">
        <v>6458</v>
      </c>
      <c r="E2752" s="435"/>
    </row>
    <row r="2753" spans="4:5">
      <c r="D2753" s="437" t="s">
        <v>6459</v>
      </c>
      <c r="E2753" s="435"/>
    </row>
    <row r="2754" spans="4:5">
      <c r="D2754" s="437" t="s">
        <v>6460</v>
      </c>
      <c r="E2754" s="435"/>
    </row>
    <row r="2755" spans="4:5">
      <c r="D2755" s="437" t="s">
        <v>6461</v>
      </c>
      <c r="E2755" s="435"/>
    </row>
    <row r="2756" spans="4:5">
      <c r="D2756" s="434" t="s">
        <v>6462</v>
      </c>
      <c r="E2756" s="435" t="s">
        <v>6463</v>
      </c>
    </row>
    <row r="2757" spans="4:5">
      <c r="D2757" s="434" t="s">
        <v>6464</v>
      </c>
      <c r="E2757" s="435" t="s">
        <v>6465</v>
      </c>
    </row>
    <row r="2758" spans="4:5">
      <c r="D2758" s="437" t="s">
        <v>6466</v>
      </c>
      <c r="E2758" s="435"/>
    </row>
    <row r="2759" spans="4:5">
      <c r="D2759" s="437" t="s">
        <v>6467</v>
      </c>
      <c r="E2759" s="435"/>
    </row>
    <row r="2760" spans="4:5">
      <c r="D2760" s="437" t="s">
        <v>6468</v>
      </c>
      <c r="E2760" s="435"/>
    </row>
    <row r="2761" spans="4:5">
      <c r="D2761" s="434" t="s">
        <v>6469</v>
      </c>
      <c r="E2761" s="435" t="s">
        <v>6470</v>
      </c>
    </row>
    <row r="2762" spans="4:5">
      <c r="D2762" s="437" t="s">
        <v>6471</v>
      </c>
      <c r="E2762" s="435"/>
    </row>
    <row r="2763" spans="4:5">
      <c r="D2763" s="437" t="s">
        <v>6472</v>
      </c>
      <c r="E2763" s="435"/>
    </row>
    <row r="2764" spans="4:5">
      <c r="D2764" s="437" t="s">
        <v>6473</v>
      </c>
      <c r="E2764" s="435"/>
    </row>
    <row r="2765" spans="4:5">
      <c r="D2765" s="434" t="s">
        <v>753</v>
      </c>
      <c r="E2765" s="435" t="s">
        <v>6474</v>
      </c>
    </row>
    <row r="2766" spans="4:5">
      <c r="D2766" s="434" t="s">
        <v>6475</v>
      </c>
      <c r="E2766" s="435" t="s">
        <v>6474</v>
      </c>
    </row>
    <row r="2767" spans="4:5">
      <c r="D2767" s="437" t="s">
        <v>6476</v>
      </c>
      <c r="E2767" s="435"/>
    </row>
    <row r="2768" spans="4:5">
      <c r="D2768" s="437" t="s">
        <v>6477</v>
      </c>
      <c r="E2768" s="435"/>
    </row>
    <row r="2769" spans="4:5">
      <c r="D2769" s="437" t="s">
        <v>6478</v>
      </c>
      <c r="E2769" s="435"/>
    </row>
    <row r="2770" spans="4:5">
      <c r="D2770" s="437" t="s">
        <v>6479</v>
      </c>
      <c r="E2770" s="435"/>
    </row>
    <row r="2771" spans="4:5">
      <c r="D2771" s="437" t="s">
        <v>6480</v>
      </c>
      <c r="E2771" s="435"/>
    </row>
    <row r="2772" spans="4:5">
      <c r="D2772" s="437" t="s">
        <v>6481</v>
      </c>
      <c r="E2772" s="435"/>
    </row>
    <row r="2773" spans="4:5">
      <c r="D2773" s="437" t="s">
        <v>6482</v>
      </c>
      <c r="E2773" s="435"/>
    </row>
    <row r="2774" spans="4:5">
      <c r="D2774" s="437" t="s">
        <v>6483</v>
      </c>
      <c r="E2774" s="435"/>
    </row>
    <row r="2775" spans="4:5">
      <c r="D2775" s="437" t="s">
        <v>6484</v>
      </c>
      <c r="E2775" s="435"/>
    </row>
    <row r="2776" spans="4:5">
      <c r="D2776" s="434" t="s">
        <v>6485</v>
      </c>
      <c r="E2776" s="435" t="s">
        <v>6486</v>
      </c>
    </row>
    <row r="2777" spans="4:5">
      <c r="D2777" s="437" t="s">
        <v>6487</v>
      </c>
      <c r="E2777" s="435"/>
    </row>
    <row r="2778" spans="4:5">
      <c r="D2778" s="437" t="s">
        <v>6488</v>
      </c>
      <c r="E2778" s="435"/>
    </row>
    <row r="2779" spans="4:5">
      <c r="D2779" s="437" t="s">
        <v>6489</v>
      </c>
      <c r="E2779" s="435"/>
    </row>
    <row r="2780" spans="4:5">
      <c r="D2780" s="437" t="s">
        <v>6490</v>
      </c>
      <c r="E2780" s="435"/>
    </row>
    <row r="2781" spans="4:5">
      <c r="D2781" s="437" t="s">
        <v>6491</v>
      </c>
      <c r="E2781" s="435"/>
    </row>
    <row r="2782" spans="4:5">
      <c r="D2782" s="437" t="s">
        <v>6492</v>
      </c>
      <c r="E2782" s="435"/>
    </row>
    <row r="2783" spans="4:5">
      <c r="D2783" s="437" t="s">
        <v>6493</v>
      </c>
      <c r="E2783" s="435"/>
    </row>
    <row r="2784" spans="4:5">
      <c r="D2784" s="437" t="s">
        <v>6494</v>
      </c>
      <c r="E2784" s="435"/>
    </row>
    <row r="2785" spans="4:5">
      <c r="D2785" s="437" t="s">
        <v>6495</v>
      </c>
      <c r="E2785" s="435"/>
    </row>
    <row r="2786" spans="4:5">
      <c r="D2786" s="437" t="s">
        <v>6496</v>
      </c>
      <c r="E2786" s="435"/>
    </row>
    <row r="2787" spans="4:5">
      <c r="D2787" s="437" t="s">
        <v>6497</v>
      </c>
      <c r="E2787" s="435"/>
    </row>
    <row r="2788" spans="4:5">
      <c r="D2788" s="434" t="s">
        <v>6498</v>
      </c>
      <c r="E2788" s="435" t="s">
        <v>6499</v>
      </c>
    </row>
    <row r="2789" spans="4:5">
      <c r="D2789" s="437" t="s">
        <v>6500</v>
      </c>
      <c r="E2789" s="435"/>
    </row>
    <row r="2790" spans="4:5">
      <c r="D2790" s="434" t="s">
        <v>6501</v>
      </c>
      <c r="E2790" s="435" t="s">
        <v>6502</v>
      </c>
    </row>
    <row r="2791" spans="4:5">
      <c r="D2791" s="437" t="s">
        <v>6503</v>
      </c>
      <c r="E2791" s="435"/>
    </row>
    <row r="2792" spans="4:5">
      <c r="D2792" s="437" t="s">
        <v>6504</v>
      </c>
      <c r="E2792" s="435"/>
    </row>
    <row r="2793" spans="4:5">
      <c r="D2793" s="437" t="s">
        <v>6505</v>
      </c>
      <c r="E2793" s="435"/>
    </row>
    <row r="2794" spans="4:5">
      <c r="D2794" s="437" t="s">
        <v>6506</v>
      </c>
      <c r="E2794" s="435"/>
    </row>
    <row r="2795" spans="4:5">
      <c r="D2795" s="434" t="s">
        <v>6507</v>
      </c>
      <c r="E2795" s="435" t="s">
        <v>6508</v>
      </c>
    </row>
    <row r="2796" spans="4:5">
      <c r="D2796" s="434" t="s">
        <v>6509</v>
      </c>
      <c r="E2796" s="435" t="s">
        <v>6510</v>
      </c>
    </row>
    <row r="2797" spans="4:5">
      <c r="D2797" s="437" t="s">
        <v>6511</v>
      </c>
      <c r="E2797" s="435"/>
    </row>
    <row r="2798" spans="4:5">
      <c r="D2798" s="437" t="s">
        <v>6512</v>
      </c>
      <c r="E2798" s="435"/>
    </row>
    <row r="2799" spans="4:5">
      <c r="D2799" s="437" t="s">
        <v>6513</v>
      </c>
      <c r="E2799" s="435"/>
    </row>
    <row r="2800" spans="4:5">
      <c r="D2800" s="437" t="s">
        <v>6514</v>
      </c>
      <c r="E2800" s="435"/>
    </row>
    <row r="2801" spans="4:5">
      <c r="D2801" s="437" t="s">
        <v>6515</v>
      </c>
      <c r="E2801" s="435"/>
    </row>
    <row r="2802" spans="4:5">
      <c r="D2802" s="437" t="s">
        <v>6516</v>
      </c>
      <c r="E2802" s="435"/>
    </row>
    <row r="2803" spans="4:5">
      <c r="D2803" s="437" t="s">
        <v>6517</v>
      </c>
      <c r="E2803" s="435"/>
    </row>
    <row r="2804" spans="4:5">
      <c r="D2804" s="437" t="s">
        <v>6518</v>
      </c>
      <c r="E2804" s="435"/>
    </row>
    <row r="2805" spans="4:5">
      <c r="D2805" s="434" t="s">
        <v>6519</v>
      </c>
      <c r="E2805" s="435" t="s">
        <v>6520</v>
      </c>
    </row>
    <row r="2806" spans="4:5">
      <c r="D2806" s="437" t="s">
        <v>6521</v>
      </c>
      <c r="E2806" s="435"/>
    </row>
    <row r="2807" spans="4:5">
      <c r="D2807" s="437" t="s">
        <v>6522</v>
      </c>
      <c r="E2807" s="435"/>
    </row>
    <row r="2808" spans="4:5">
      <c r="D2808" s="437" t="s">
        <v>6523</v>
      </c>
      <c r="E2808" s="435"/>
    </row>
    <row r="2809" spans="4:5">
      <c r="D2809" s="437" t="s">
        <v>6524</v>
      </c>
      <c r="E2809" s="435"/>
    </row>
    <row r="2810" spans="4:5">
      <c r="D2810" s="437" t="s">
        <v>6525</v>
      </c>
      <c r="E2810" s="435"/>
    </row>
    <row r="2811" spans="4:5">
      <c r="D2811" s="437" t="s">
        <v>6526</v>
      </c>
      <c r="E2811" s="435"/>
    </row>
    <row r="2812" spans="4:5">
      <c r="D2812" s="437" t="s">
        <v>6527</v>
      </c>
      <c r="E2812" s="435"/>
    </row>
    <row r="2813" spans="4:5">
      <c r="D2813" s="434" t="s">
        <v>6528</v>
      </c>
      <c r="E2813" s="435" t="s">
        <v>6529</v>
      </c>
    </row>
    <row r="2814" spans="4:5">
      <c r="D2814" s="437" t="s">
        <v>6530</v>
      </c>
      <c r="E2814" s="435"/>
    </row>
    <row r="2815" spans="4:5">
      <c r="D2815" s="437" t="s">
        <v>6531</v>
      </c>
      <c r="E2815" s="435"/>
    </row>
    <row r="2816" spans="4:5">
      <c r="D2816" s="437" t="s">
        <v>6532</v>
      </c>
      <c r="E2816" s="435"/>
    </row>
    <row r="2817" spans="4:5">
      <c r="D2817" s="437" t="s">
        <v>6533</v>
      </c>
      <c r="E2817" s="435"/>
    </row>
    <row r="2818" spans="4:5">
      <c r="D2818" s="437" t="s">
        <v>6534</v>
      </c>
      <c r="E2818" s="435"/>
    </row>
    <row r="2819" spans="4:5">
      <c r="D2819" s="437" t="s">
        <v>6535</v>
      </c>
      <c r="E2819" s="435"/>
    </row>
    <row r="2820" spans="4:5">
      <c r="D2820" s="437" t="s">
        <v>6536</v>
      </c>
      <c r="E2820" s="435"/>
    </row>
    <row r="2821" spans="4:5">
      <c r="D2821" s="437" t="s">
        <v>6537</v>
      </c>
      <c r="E2821" s="435"/>
    </row>
    <row r="2822" spans="4:5">
      <c r="D2822" s="437" t="s">
        <v>6538</v>
      </c>
      <c r="E2822" s="435"/>
    </row>
    <row r="2823" spans="4:5">
      <c r="D2823" s="437" t="s">
        <v>6539</v>
      </c>
      <c r="E2823" s="435"/>
    </row>
    <row r="2824" spans="4:5">
      <c r="D2824" s="437" t="s">
        <v>6540</v>
      </c>
      <c r="E2824" s="435"/>
    </row>
    <row r="2825" spans="4:5">
      <c r="D2825" s="434" t="s">
        <v>6541</v>
      </c>
      <c r="E2825" s="435" t="s">
        <v>6542</v>
      </c>
    </row>
    <row r="2826" spans="4:5">
      <c r="D2826" s="437" t="s">
        <v>6543</v>
      </c>
      <c r="E2826" s="435"/>
    </row>
    <row r="2827" spans="4:5">
      <c r="D2827" s="437" t="s">
        <v>6544</v>
      </c>
      <c r="E2827" s="435"/>
    </row>
    <row r="2828" spans="4:5">
      <c r="D2828" s="437" t="s">
        <v>6545</v>
      </c>
      <c r="E2828" s="435"/>
    </row>
    <row r="2829" spans="4:5">
      <c r="D2829" s="434" t="s">
        <v>6546</v>
      </c>
      <c r="E2829" s="435" t="s">
        <v>6547</v>
      </c>
    </row>
    <row r="2830" spans="4:5">
      <c r="D2830" s="437" t="s">
        <v>6548</v>
      </c>
      <c r="E2830" s="435"/>
    </row>
    <row r="2831" spans="4:5">
      <c r="D2831" s="434" t="s">
        <v>6549</v>
      </c>
      <c r="E2831" s="435" t="s">
        <v>6550</v>
      </c>
    </row>
    <row r="2832" spans="4:5">
      <c r="D2832" s="437" t="s">
        <v>6551</v>
      </c>
      <c r="E2832" s="435"/>
    </row>
    <row r="2833" spans="4:5">
      <c r="D2833" s="434" t="s">
        <v>6552</v>
      </c>
      <c r="E2833" s="435" t="s">
        <v>6553</v>
      </c>
    </row>
    <row r="2834" spans="4:5">
      <c r="D2834" s="434" t="s">
        <v>6554</v>
      </c>
      <c r="E2834" s="435" t="s">
        <v>6553</v>
      </c>
    </row>
    <row r="2835" spans="4:5">
      <c r="D2835" s="437" t="s">
        <v>6555</v>
      </c>
      <c r="E2835" s="435"/>
    </row>
    <row r="2836" spans="4:5">
      <c r="D2836" s="437" t="s">
        <v>6556</v>
      </c>
      <c r="E2836" s="435"/>
    </row>
    <row r="2837" spans="4:5">
      <c r="D2837" s="434" t="s">
        <v>6557</v>
      </c>
      <c r="E2837" s="435" t="s">
        <v>6558</v>
      </c>
    </row>
    <row r="2838" spans="4:5">
      <c r="D2838" s="434" t="s">
        <v>6559</v>
      </c>
      <c r="E2838" s="435" t="s">
        <v>6560</v>
      </c>
    </row>
    <row r="2839" spans="4:5">
      <c r="D2839" s="437" t="s">
        <v>6561</v>
      </c>
      <c r="E2839" s="435"/>
    </row>
    <row r="2840" spans="4:5">
      <c r="D2840" s="437" t="s">
        <v>6562</v>
      </c>
      <c r="E2840" s="435"/>
    </row>
    <row r="2841" spans="4:5">
      <c r="D2841" s="437" t="s">
        <v>6563</v>
      </c>
      <c r="E2841" s="435"/>
    </row>
    <row r="2842" spans="4:5">
      <c r="D2842" s="434" t="s">
        <v>6564</v>
      </c>
      <c r="E2842" s="435" t="s">
        <v>6565</v>
      </c>
    </row>
    <row r="2843" spans="4:5">
      <c r="D2843" s="434" t="s">
        <v>6566</v>
      </c>
      <c r="E2843" s="435" t="s">
        <v>6567</v>
      </c>
    </row>
    <row r="2844" spans="4:5">
      <c r="D2844" s="434" t="s">
        <v>6568</v>
      </c>
      <c r="E2844" s="435" t="s">
        <v>6569</v>
      </c>
    </row>
    <row r="2845" spans="4:5">
      <c r="D2845" s="437" t="s">
        <v>6570</v>
      </c>
      <c r="E2845" s="435"/>
    </row>
    <row r="2846" spans="4:5">
      <c r="D2846" s="437" t="s">
        <v>6571</v>
      </c>
      <c r="E2846" s="435"/>
    </row>
    <row r="2847" spans="4:5">
      <c r="D2847" s="437" t="s">
        <v>6572</v>
      </c>
      <c r="E2847" s="435"/>
    </row>
    <row r="2848" spans="4:5">
      <c r="D2848" s="437" t="s">
        <v>6573</v>
      </c>
      <c r="E2848" s="435"/>
    </row>
    <row r="2849" spans="4:5">
      <c r="D2849" s="437" t="s">
        <v>6574</v>
      </c>
      <c r="E2849" s="435"/>
    </row>
    <row r="2850" spans="4:5">
      <c r="D2850" s="437" t="s">
        <v>6575</v>
      </c>
      <c r="E2850" s="435"/>
    </row>
    <row r="2851" spans="4:5">
      <c r="D2851" s="434" t="s">
        <v>6576</v>
      </c>
      <c r="E2851" s="435" t="s">
        <v>6577</v>
      </c>
    </row>
    <row r="2852" spans="4:5">
      <c r="D2852" s="434" t="s">
        <v>6578</v>
      </c>
      <c r="E2852" s="435" t="s">
        <v>6577</v>
      </c>
    </row>
    <row r="2853" spans="4:5">
      <c r="D2853" s="437" t="s">
        <v>6579</v>
      </c>
      <c r="E2853" s="435"/>
    </row>
    <row r="2854" spans="4:5">
      <c r="D2854" s="437" t="s">
        <v>6580</v>
      </c>
      <c r="E2854" s="435"/>
    </row>
    <row r="2855" spans="4:5">
      <c r="D2855" s="437" t="s">
        <v>6581</v>
      </c>
      <c r="E2855" s="435"/>
    </row>
    <row r="2856" spans="4:5">
      <c r="D2856" s="437" t="s">
        <v>6582</v>
      </c>
      <c r="E2856" s="435"/>
    </row>
    <row r="2857" spans="4:5">
      <c r="D2857" s="434" t="s">
        <v>700</v>
      </c>
      <c r="E2857" s="435" t="s">
        <v>6583</v>
      </c>
    </row>
    <row r="2858" spans="4:5">
      <c r="D2858" s="434" t="s">
        <v>6584</v>
      </c>
      <c r="E2858" s="435" t="s">
        <v>6583</v>
      </c>
    </row>
    <row r="2859" spans="4:5">
      <c r="D2859" s="437" t="s">
        <v>6585</v>
      </c>
      <c r="E2859" s="435"/>
    </row>
    <row r="2860" spans="4:5">
      <c r="D2860" s="437" t="s">
        <v>6586</v>
      </c>
      <c r="E2860" s="435"/>
    </row>
    <row r="2861" spans="4:5">
      <c r="D2861" s="437" t="s">
        <v>1274</v>
      </c>
      <c r="E2861" s="435"/>
    </row>
    <row r="2862" spans="4:5">
      <c r="D2862" s="437" t="s">
        <v>6587</v>
      </c>
      <c r="E2862" s="435"/>
    </row>
    <row r="2863" spans="4:5">
      <c r="D2863" s="437" t="s">
        <v>6588</v>
      </c>
      <c r="E2863" s="435"/>
    </row>
    <row r="2864" spans="4:5">
      <c r="D2864" s="437" t="s">
        <v>6589</v>
      </c>
      <c r="E2864" s="435"/>
    </row>
    <row r="2865" spans="4:5">
      <c r="D2865" s="437" t="s">
        <v>6590</v>
      </c>
      <c r="E2865" s="435"/>
    </row>
    <row r="2866" spans="4:5">
      <c r="D2866" s="437" t="s">
        <v>6591</v>
      </c>
      <c r="E2866" s="435"/>
    </row>
    <row r="2867" spans="4:5">
      <c r="D2867" s="437" t="s">
        <v>6592</v>
      </c>
      <c r="E2867" s="435"/>
    </row>
    <row r="2868" spans="4:5">
      <c r="D2868" s="434" t="s">
        <v>6593</v>
      </c>
      <c r="E2868" s="435" t="s">
        <v>6594</v>
      </c>
    </row>
    <row r="2869" spans="4:5">
      <c r="D2869" s="437" t="s">
        <v>6595</v>
      </c>
      <c r="E2869" s="435"/>
    </row>
    <row r="2870" spans="4:5">
      <c r="D2870" s="437" t="s">
        <v>6596</v>
      </c>
      <c r="E2870" s="435"/>
    </row>
    <row r="2871" spans="4:5">
      <c r="D2871" s="437" t="s">
        <v>6597</v>
      </c>
      <c r="E2871" s="435"/>
    </row>
    <row r="2872" spans="4:5">
      <c r="D2872" s="437" t="s">
        <v>6598</v>
      </c>
      <c r="E2872" s="435"/>
    </row>
    <row r="2873" spans="4:5">
      <c r="D2873" s="437" t="s">
        <v>6599</v>
      </c>
      <c r="E2873" s="435"/>
    </row>
    <row r="2874" spans="4:5">
      <c r="D2874" s="437" t="s">
        <v>6600</v>
      </c>
      <c r="E2874" s="435"/>
    </row>
    <row r="2875" spans="4:5">
      <c r="D2875" s="437" t="s">
        <v>6601</v>
      </c>
      <c r="E2875" s="435"/>
    </row>
    <row r="2876" spans="4:5">
      <c r="D2876" s="437" t="s">
        <v>6602</v>
      </c>
      <c r="E2876" s="435"/>
    </row>
    <row r="2877" spans="4:5">
      <c r="D2877" s="437" t="s">
        <v>6603</v>
      </c>
      <c r="E2877" s="435"/>
    </row>
    <row r="2878" spans="4:5">
      <c r="D2878" s="437" t="s">
        <v>6604</v>
      </c>
      <c r="E2878" s="435"/>
    </row>
    <row r="2879" spans="4:5">
      <c r="D2879" s="437" t="s">
        <v>6605</v>
      </c>
      <c r="E2879" s="435"/>
    </row>
    <row r="2880" spans="4:5">
      <c r="D2880" s="437" t="s">
        <v>6606</v>
      </c>
      <c r="E2880" s="435"/>
    </row>
    <row r="2881" spans="4:5">
      <c r="D2881" s="437" t="s">
        <v>6607</v>
      </c>
      <c r="E2881" s="435"/>
    </row>
    <row r="2882" spans="4:5">
      <c r="D2882" s="437" t="s">
        <v>6608</v>
      </c>
      <c r="E2882" s="435"/>
    </row>
    <row r="2883" spans="4:5">
      <c r="D2883" s="437" t="s">
        <v>6609</v>
      </c>
      <c r="E2883" s="435"/>
    </row>
    <row r="2884" spans="4:5">
      <c r="D2884" s="437" t="s">
        <v>6610</v>
      </c>
      <c r="E2884" s="435"/>
    </row>
    <row r="2885" spans="4:5">
      <c r="D2885" s="437" t="s">
        <v>6611</v>
      </c>
      <c r="E2885" s="435"/>
    </row>
    <row r="2886" spans="4:5">
      <c r="D2886" s="437" t="s">
        <v>6612</v>
      </c>
      <c r="E2886" s="435"/>
    </row>
    <row r="2887" spans="4:5">
      <c r="D2887" s="437" t="s">
        <v>6613</v>
      </c>
      <c r="E2887" s="435"/>
    </row>
    <row r="2888" spans="4:5">
      <c r="D2888" s="437" t="s">
        <v>6614</v>
      </c>
      <c r="E2888" s="435"/>
    </row>
    <row r="2889" spans="4:5">
      <c r="D2889" s="437" t="s">
        <v>6615</v>
      </c>
      <c r="E2889" s="435"/>
    </row>
    <row r="2890" spans="4:5">
      <c r="D2890" s="437" t="s">
        <v>6616</v>
      </c>
      <c r="E2890" s="435"/>
    </row>
    <row r="2891" spans="4:5">
      <c r="D2891" s="434" t="s">
        <v>6617</v>
      </c>
      <c r="E2891" s="435" t="s">
        <v>6618</v>
      </c>
    </row>
    <row r="2892" spans="4:5">
      <c r="D2892" s="437" t="s">
        <v>6619</v>
      </c>
      <c r="E2892" s="435"/>
    </row>
    <row r="2893" spans="4:5">
      <c r="D2893" s="437" t="s">
        <v>6620</v>
      </c>
      <c r="E2893" s="435"/>
    </row>
    <row r="2894" spans="4:5">
      <c r="D2894" s="434" t="s">
        <v>6621</v>
      </c>
      <c r="E2894" s="435" t="s">
        <v>6622</v>
      </c>
    </row>
    <row r="2895" spans="4:5">
      <c r="D2895" s="437" t="s">
        <v>6623</v>
      </c>
      <c r="E2895" s="435"/>
    </row>
    <row r="2896" spans="4:5">
      <c r="D2896" s="437" t="s">
        <v>6624</v>
      </c>
      <c r="E2896" s="435"/>
    </row>
    <row r="2897" spans="4:5">
      <c r="D2897" s="437" t="s">
        <v>6625</v>
      </c>
      <c r="E2897" s="435"/>
    </row>
    <row r="2898" spans="4:5">
      <c r="D2898" s="434" t="s">
        <v>6626</v>
      </c>
      <c r="E2898" s="435" t="s">
        <v>6627</v>
      </c>
    </row>
    <row r="2899" spans="4:5">
      <c r="D2899" s="434" t="s">
        <v>6628</v>
      </c>
      <c r="E2899" s="435" t="s">
        <v>6629</v>
      </c>
    </row>
    <row r="2900" spans="4:5">
      <c r="D2900" s="437" t="s">
        <v>6630</v>
      </c>
      <c r="E2900" s="435"/>
    </row>
    <row r="2901" spans="4:5">
      <c r="D2901" s="434" t="s">
        <v>6631</v>
      </c>
      <c r="E2901" s="435" t="s">
        <v>6632</v>
      </c>
    </row>
    <row r="2902" spans="4:5">
      <c r="D2902" s="434" t="s">
        <v>6633</v>
      </c>
      <c r="E2902" s="435" t="s">
        <v>6634</v>
      </c>
    </row>
    <row r="2903" spans="4:5">
      <c r="D2903" s="437" t="s">
        <v>6635</v>
      </c>
      <c r="E2903" s="435"/>
    </row>
    <row r="2904" spans="4:5">
      <c r="D2904" s="437" t="s">
        <v>6636</v>
      </c>
      <c r="E2904" s="435"/>
    </row>
    <row r="2905" spans="4:5">
      <c r="D2905" s="437" t="s">
        <v>6637</v>
      </c>
      <c r="E2905" s="435"/>
    </row>
    <row r="2906" spans="4:5">
      <c r="D2906" s="434" t="s">
        <v>6638</v>
      </c>
      <c r="E2906" s="435" t="s">
        <v>6639</v>
      </c>
    </row>
    <row r="2907" spans="4:5">
      <c r="D2907" s="437" t="s">
        <v>6640</v>
      </c>
      <c r="E2907" s="435"/>
    </row>
    <row r="2908" spans="4:5">
      <c r="D2908" s="434" t="s">
        <v>6641</v>
      </c>
      <c r="E2908" s="435" t="s">
        <v>6642</v>
      </c>
    </row>
    <row r="2909" spans="4:5">
      <c r="D2909" s="437" t="s">
        <v>6643</v>
      </c>
      <c r="E2909" s="435"/>
    </row>
    <row r="2910" spans="4:5">
      <c r="D2910" s="437" t="s">
        <v>6644</v>
      </c>
      <c r="E2910" s="435"/>
    </row>
    <row r="2911" spans="4:5">
      <c r="D2911" s="437" t="s">
        <v>6645</v>
      </c>
      <c r="E2911" s="435"/>
    </row>
    <row r="2912" spans="4:5">
      <c r="D2912" s="434" t="s">
        <v>6646</v>
      </c>
      <c r="E2912" s="435" t="s">
        <v>6647</v>
      </c>
    </row>
    <row r="2913" spans="4:5">
      <c r="D2913" s="434" t="s">
        <v>6643</v>
      </c>
      <c r="E2913" s="435" t="s">
        <v>6648</v>
      </c>
    </row>
    <row r="2914" spans="4:5">
      <c r="D2914" s="434" t="s">
        <v>6649</v>
      </c>
      <c r="E2914" s="435" t="s">
        <v>6648</v>
      </c>
    </row>
    <row r="2915" spans="4:5">
      <c r="D2915" s="434" t="s">
        <v>6650</v>
      </c>
      <c r="E2915" s="435" t="s">
        <v>6648</v>
      </c>
    </row>
    <row r="2916" spans="4:5">
      <c r="D2916" s="434" t="s">
        <v>6651</v>
      </c>
      <c r="E2916" s="435" t="s">
        <v>6652</v>
      </c>
    </row>
    <row r="2917" spans="4:5">
      <c r="D2917" s="437" t="s">
        <v>6653</v>
      </c>
      <c r="E2917" s="435"/>
    </row>
    <row r="2918" spans="4:5">
      <c r="D2918" s="434" t="s">
        <v>6654</v>
      </c>
      <c r="E2918" s="435" t="s">
        <v>6648</v>
      </c>
    </row>
    <row r="2919" spans="4:5">
      <c r="D2919" s="437" t="s">
        <v>6655</v>
      </c>
      <c r="E2919" s="435"/>
    </row>
    <row r="2920" spans="4:5">
      <c r="D2920" s="437" t="s">
        <v>6656</v>
      </c>
      <c r="E2920" s="435"/>
    </row>
    <row r="2921" spans="4:5">
      <c r="D2921" s="434" t="s">
        <v>6657</v>
      </c>
      <c r="E2921" s="435" t="s">
        <v>6658</v>
      </c>
    </row>
    <row r="2922" spans="4:5">
      <c r="D2922" s="434" t="s">
        <v>6659</v>
      </c>
      <c r="E2922" s="435" t="s">
        <v>6658</v>
      </c>
    </row>
    <row r="2923" spans="4:5">
      <c r="D2923" s="434" t="s">
        <v>6660</v>
      </c>
      <c r="E2923" s="435" t="s">
        <v>6658</v>
      </c>
    </row>
    <row r="2924" spans="4:5">
      <c r="D2924" s="437" t="s">
        <v>6661</v>
      </c>
      <c r="E2924" s="435"/>
    </row>
    <row r="2925" spans="4:5">
      <c r="D2925" s="434" t="s">
        <v>6662</v>
      </c>
      <c r="E2925" s="435" t="s">
        <v>6663</v>
      </c>
    </row>
    <row r="2926" spans="4:5">
      <c r="D2926" s="434" t="s">
        <v>6664</v>
      </c>
      <c r="E2926" s="435" t="s">
        <v>6665</v>
      </c>
    </row>
    <row r="2927" spans="4:5">
      <c r="D2927" s="437" t="s">
        <v>6666</v>
      </c>
      <c r="E2927" s="435"/>
    </row>
    <row r="2928" spans="4:5">
      <c r="D2928" s="437" t="s">
        <v>6667</v>
      </c>
      <c r="E2928" s="435"/>
    </row>
    <row r="2929" spans="4:5">
      <c r="D2929" s="437" t="s">
        <v>6668</v>
      </c>
      <c r="E2929" s="435"/>
    </row>
    <row r="2930" spans="4:5">
      <c r="D2930" s="437" t="s">
        <v>6669</v>
      </c>
      <c r="E2930" s="435"/>
    </row>
    <row r="2931" spans="4:5">
      <c r="D2931" s="437" t="s">
        <v>6670</v>
      </c>
      <c r="E2931" s="435"/>
    </row>
    <row r="2932" spans="4:5">
      <c r="D2932" s="437" t="s">
        <v>6671</v>
      </c>
      <c r="E2932" s="435"/>
    </row>
    <row r="2933" spans="4:5">
      <c r="D2933" s="437" t="s">
        <v>6672</v>
      </c>
      <c r="E2933" s="435"/>
    </row>
    <row r="2934" spans="4:5">
      <c r="D2934" s="437" t="s">
        <v>6673</v>
      </c>
      <c r="E2934" s="435"/>
    </row>
    <row r="2935" spans="4:5">
      <c r="D2935" s="437" t="s">
        <v>6674</v>
      </c>
      <c r="E2935" s="435"/>
    </row>
    <row r="2936" spans="4:5">
      <c r="D2936" s="437" t="s">
        <v>6675</v>
      </c>
      <c r="E2936" s="435"/>
    </row>
    <row r="2937" spans="4:5">
      <c r="D2937" s="437" t="s">
        <v>6676</v>
      </c>
      <c r="E2937" s="435"/>
    </row>
    <row r="2938" spans="4:5">
      <c r="D2938" s="437" t="s">
        <v>6677</v>
      </c>
      <c r="E2938" s="435"/>
    </row>
    <row r="2939" spans="4:5">
      <c r="D2939" s="434" t="s">
        <v>6678</v>
      </c>
      <c r="E2939" s="435" t="s">
        <v>6679</v>
      </c>
    </row>
    <row r="2940" spans="4:5">
      <c r="D2940" s="437" t="s">
        <v>6680</v>
      </c>
      <c r="E2940" s="435"/>
    </row>
    <row r="2941" spans="4:5">
      <c r="D2941" s="434" t="s">
        <v>6681</v>
      </c>
      <c r="E2941" s="435" t="s">
        <v>6682</v>
      </c>
    </row>
    <row r="2942" spans="4:5">
      <c r="D2942" s="437" t="s">
        <v>6683</v>
      </c>
      <c r="E2942" s="435"/>
    </row>
    <row r="2943" spans="4:5">
      <c r="D2943" s="437" t="s">
        <v>6684</v>
      </c>
      <c r="E2943" s="435"/>
    </row>
    <row r="2944" spans="4:5">
      <c r="D2944" s="434" t="s">
        <v>6685</v>
      </c>
      <c r="E2944" s="435" t="s">
        <v>6686</v>
      </c>
    </row>
    <row r="2945" spans="4:5">
      <c r="D2945" s="437" t="s">
        <v>6687</v>
      </c>
      <c r="E2945" s="435"/>
    </row>
    <row r="2946" spans="4:5">
      <c r="D2946" s="434" t="s">
        <v>6688</v>
      </c>
      <c r="E2946" s="435" t="s">
        <v>6689</v>
      </c>
    </row>
    <row r="2947" spans="4:5">
      <c r="D2947" s="437" t="s">
        <v>6690</v>
      </c>
      <c r="E2947" s="435"/>
    </row>
    <row r="2948" spans="4:5">
      <c r="D2948" s="437" t="s">
        <v>6691</v>
      </c>
      <c r="E2948" s="435"/>
    </row>
    <row r="2949" spans="4:5">
      <c r="D2949" s="437" t="s">
        <v>6692</v>
      </c>
      <c r="E2949" s="435"/>
    </row>
    <row r="2950" spans="4:5">
      <c r="D2950" s="437" t="s">
        <v>6693</v>
      </c>
      <c r="E2950" s="435"/>
    </row>
    <row r="2951" spans="4:5">
      <c r="D2951" s="437" t="s">
        <v>6694</v>
      </c>
      <c r="E2951" s="435"/>
    </row>
    <row r="2952" spans="4:5">
      <c r="D2952" s="437" t="s">
        <v>6695</v>
      </c>
      <c r="E2952" s="435"/>
    </row>
    <row r="2953" spans="4:5">
      <c r="D2953" s="437" t="s">
        <v>6696</v>
      </c>
      <c r="E2953" s="435"/>
    </row>
    <row r="2954" spans="4:5">
      <c r="D2954" s="437" t="s">
        <v>6697</v>
      </c>
      <c r="E2954" s="435"/>
    </row>
    <row r="2955" spans="4:5">
      <c r="D2955" s="437" t="s">
        <v>6698</v>
      </c>
      <c r="E2955" s="435"/>
    </row>
    <row r="2956" spans="4:5">
      <c r="D2956" s="437" t="s">
        <v>6699</v>
      </c>
      <c r="E2956" s="435"/>
    </row>
    <row r="2957" spans="4:5">
      <c r="D2957" s="434" t="s">
        <v>6700</v>
      </c>
      <c r="E2957" s="435" t="s">
        <v>6701</v>
      </c>
    </row>
    <row r="2958" spans="4:5">
      <c r="D2958" s="434" t="s">
        <v>6702</v>
      </c>
      <c r="E2958" s="435" t="s">
        <v>6703</v>
      </c>
    </row>
    <row r="2959" spans="4:5">
      <c r="D2959" s="437" t="s">
        <v>6704</v>
      </c>
      <c r="E2959" s="435"/>
    </row>
    <row r="2960" spans="4:5">
      <c r="D2960" s="437" t="s">
        <v>6705</v>
      </c>
      <c r="E2960" s="435"/>
    </row>
    <row r="2961" spans="4:5">
      <c r="D2961" s="437" t="s">
        <v>6706</v>
      </c>
      <c r="E2961" s="435"/>
    </row>
    <row r="2962" spans="4:5">
      <c r="D2962" s="434" t="s">
        <v>6707</v>
      </c>
      <c r="E2962" s="435" t="s">
        <v>6708</v>
      </c>
    </row>
    <row r="2963" spans="4:5">
      <c r="D2963" s="437" t="s">
        <v>6709</v>
      </c>
      <c r="E2963" s="435"/>
    </row>
    <row r="2964" spans="4:5">
      <c r="D2964" s="437" t="s">
        <v>6710</v>
      </c>
      <c r="E2964" s="435"/>
    </row>
    <row r="2965" spans="4:5">
      <c r="D2965" s="437" t="s">
        <v>6711</v>
      </c>
      <c r="E2965" s="435"/>
    </row>
    <row r="2966" spans="4:5">
      <c r="D2966" s="437" t="s">
        <v>6712</v>
      </c>
      <c r="E2966" s="435"/>
    </row>
    <row r="2967" spans="4:5">
      <c r="D2967" s="437" t="s">
        <v>6713</v>
      </c>
      <c r="E2967" s="435"/>
    </row>
    <row r="2968" spans="4:5">
      <c r="D2968" s="437" t="s">
        <v>6714</v>
      </c>
      <c r="E2968" s="435"/>
    </row>
    <row r="2969" spans="4:5">
      <c r="D2969" s="437" t="s">
        <v>6715</v>
      </c>
      <c r="E2969" s="435"/>
    </row>
    <row r="2970" spans="4:5">
      <c r="D2970" s="437" t="s">
        <v>6716</v>
      </c>
      <c r="E2970" s="435"/>
    </row>
    <row r="2971" spans="4:5">
      <c r="D2971" s="434" t="s">
        <v>6717</v>
      </c>
      <c r="E2971" s="435" t="s">
        <v>6718</v>
      </c>
    </row>
    <row r="2972" spans="4:5">
      <c r="D2972" s="437" t="s">
        <v>6719</v>
      </c>
      <c r="E2972" s="435"/>
    </row>
    <row r="2973" spans="4:5">
      <c r="D2973" s="437" t="s">
        <v>6720</v>
      </c>
      <c r="E2973" s="435"/>
    </row>
    <row r="2974" spans="4:5">
      <c r="D2974" s="437" t="s">
        <v>6721</v>
      </c>
      <c r="E2974" s="435"/>
    </row>
    <row r="2975" spans="4:5">
      <c r="D2975" s="434" t="s">
        <v>6722</v>
      </c>
      <c r="E2975" s="435" t="s">
        <v>6723</v>
      </c>
    </row>
    <row r="2976" spans="4:5">
      <c r="D2976" s="437" t="s">
        <v>6724</v>
      </c>
      <c r="E2976" s="435"/>
    </row>
    <row r="2977" spans="4:5">
      <c r="D2977" s="437" t="s">
        <v>6725</v>
      </c>
      <c r="E2977" s="435"/>
    </row>
    <row r="2978" spans="4:5">
      <c r="D2978" s="437" t="s">
        <v>6726</v>
      </c>
      <c r="E2978" s="435"/>
    </row>
    <row r="2979" spans="4:5">
      <c r="D2979" s="437" t="s">
        <v>6727</v>
      </c>
      <c r="E2979" s="435"/>
    </row>
    <row r="2980" spans="4:5">
      <c r="D2980" s="437" t="s">
        <v>6728</v>
      </c>
      <c r="E2980" s="435"/>
    </row>
    <row r="2981" spans="4:5">
      <c r="D2981" s="434" t="s">
        <v>6729</v>
      </c>
      <c r="E2981" s="435" t="s">
        <v>6730</v>
      </c>
    </row>
    <row r="2982" spans="4:5">
      <c r="D2982" s="437" t="s">
        <v>6731</v>
      </c>
      <c r="E2982" s="435"/>
    </row>
    <row r="2983" spans="4:5">
      <c r="D2983" s="434" t="s">
        <v>6732</v>
      </c>
      <c r="E2983" s="435" t="s">
        <v>6733</v>
      </c>
    </row>
    <row r="2984" spans="4:5">
      <c r="D2984" s="434" t="s">
        <v>6734</v>
      </c>
      <c r="E2984" s="435" t="s">
        <v>6733</v>
      </c>
    </row>
    <row r="2985" spans="4:5">
      <c r="D2985" s="437" t="s">
        <v>6735</v>
      </c>
      <c r="E2985" s="435"/>
    </row>
    <row r="2986" spans="4:5">
      <c r="D2986" s="434" t="s">
        <v>6736</v>
      </c>
      <c r="E2986" s="435" t="s">
        <v>6737</v>
      </c>
    </row>
    <row r="2987" spans="4:5">
      <c r="D2987" s="437" t="s">
        <v>6738</v>
      </c>
      <c r="E2987" s="435"/>
    </row>
    <row r="2988" spans="4:5">
      <c r="D2988" s="437" t="s">
        <v>6739</v>
      </c>
      <c r="E2988" s="435"/>
    </row>
    <row r="2989" spans="4:5">
      <c r="D2989" s="434" t="s">
        <v>6740</v>
      </c>
      <c r="E2989" s="435" t="s">
        <v>6741</v>
      </c>
    </row>
    <row r="2990" spans="4:5">
      <c r="D2990" s="437" t="s">
        <v>6742</v>
      </c>
      <c r="E2990" s="435"/>
    </row>
    <row r="2991" spans="4:5">
      <c r="D2991" s="437" t="s">
        <v>6743</v>
      </c>
      <c r="E2991" s="435"/>
    </row>
    <row r="2992" spans="4:5">
      <c r="D2992" s="437" t="s">
        <v>6744</v>
      </c>
      <c r="E2992" s="435"/>
    </row>
    <row r="2993" spans="4:5">
      <c r="D2993" s="437" t="s">
        <v>6745</v>
      </c>
      <c r="E2993" s="435"/>
    </row>
    <row r="2994" spans="4:5">
      <c r="D2994" s="434" t="s">
        <v>6746</v>
      </c>
      <c r="E2994" s="435" t="s">
        <v>6747</v>
      </c>
    </row>
    <row r="2995" spans="4:5">
      <c r="D2995" s="434" t="s">
        <v>6748</v>
      </c>
      <c r="E2995" s="435" t="s">
        <v>6749</v>
      </c>
    </row>
    <row r="2996" spans="4:5">
      <c r="D2996" s="434" t="s">
        <v>6750</v>
      </c>
      <c r="E2996" s="435" t="s">
        <v>6751</v>
      </c>
    </row>
    <row r="2997" spans="4:5">
      <c r="D2997" s="437" t="s">
        <v>6752</v>
      </c>
      <c r="E2997" s="435"/>
    </row>
    <row r="2998" spans="4:5">
      <c r="D2998" s="437" t="s">
        <v>6753</v>
      </c>
      <c r="E2998" s="435"/>
    </row>
    <row r="2999" spans="4:5">
      <c r="D2999" s="437" t="s">
        <v>6754</v>
      </c>
      <c r="E2999" s="435"/>
    </row>
    <row r="3000" spans="4:5">
      <c r="D3000" s="434" t="s">
        <v>6755</v>
      </c>
      <c r="E3000" s="435" t="s">
        <v>6756</v>
      </c>
    </row>
    <row r="3001" spans="4:5">
      <c r="D3001" s="437" t="s">
        <v>6757</v>
      </c>
      <c r="E3001" s="435"/>
    </row>
    <row r="3002" spans="4:5">
      <c r="D3002" s="437" t="s">
        <v>6758</v>
      </c>
      <c r="E3002" s="435"/>
    </row>
    <row r="3003" spans="4:5">
      <c r="D3003" s="434" t="s">
        <v>6759</v>
      </c>
      <c r="E3003" s="435" t="s">
        <v>6760</v>
      </c>
    </row>
    <row r="3004" spans="4:5">
      <c r="D3004" s="437" t="s">
        <v>6761</v>
      </c>
      <c r="E3004" s="435"/>
    </row>
    <row r="3005" spans="4:5">
      <c r="D3005" s="437" t="s">
        <v>6762</v>
      </c>
      <c r="E3005" s="435"/>
    </row>
    <row r="3006" spans="4:5">
      <c r="D3006" s="437" t="s">
        <v>6763</v>
      </c>
      <c r="E3006" s="435"/>
    </row>
    <row r="3007" spans="4:5">
      <c r="D3007" s="437" t="s">
        <v>6764</v>
      </c>
      <c r="E3007" s="435"/>
    </row>
    <row r="3008" spans="4:5">
      <c r="D3008" s="437" t="s">
        <v>6765</v>
      </c>
      <c r="E3008" s="435"/>
    </row>
    <row r="3009" spans="4:5">
      <c r="D3009" s="434" t="s">
        <v>6766</v>
      </c>
      <c r="E3009" s="435" t="s">
        <v>6767</v>
      </c>
    </row>
    <row r="3010" spans="4:5">
      <c r="D3010" s="437" t="s">
        <v>6768</v>
      </c>
      <c r="E3010" s="435"/>
    </row>
    <row r="3011" spans="4:5">
      <c r="D3011" s="437" t="s">
        <v>6769</v>
      </c>
      <c r="E3011" s="435"/>
    </row>
    <row r="3012" spans="4:5">
      <c r="D3012" s="434" t="s">
        <v>6770</v>
      </c>
      <c r="E3012" s="435" t="s">
        <v>6771</v>
      </c>
    </row>
    <row r="3013" spans="4:5">
      <c r="D3013" s="434" t="s">
        <v>6772</v>
      </c>
      <c r="E3013" s="435" t="s">
        <v>6773</v>
      </c>
    </row>
    <row r="3014" spans="4:5">
      <c r="D3014" s="437" t="s">
        <v>6774</v>
      </c>
      <c r="E3014" s="435"/>
    </row>
    <row r="3015" spans="4:5">
      <c r="D3015" s="437" t="s">
        <v>6775</v>
      </c>
      <c r="E3015" s="435"/>
    </row>
    <row r="3016" spans="4:5">
      <c r="D3016" s="437" t="s">
        <v>6776</v>
      </c>
      <c r="E3016" s="435"/>
    </row>
    <row r="3017" spans="4:5">
      <c r="D3017" s="434" t="s">
        <v>6777</v>
      </c>
      <c r="E3017" s="435" t="s">
        <v>6778</v>
      </c>
    </row>
    <row r="3018" spans="4:5">
      <c r="D3018" s="437" t="s">
        <v>6779</v>
      </c>
      <c r="E3018" s="435"/>
    </row>
    <row r="3019" spans="4:5">
      <c r="D3019" s="434" t="s">
        <v>6780</v>
      </c>
      <c r="E3019" s="435" t="s">
        <v>6781</v>
      </c>
    </row>
    <row r="3020" spans="4:5">
      <c r="D3020" s="434" t="s">
        <v>6782</v>
      </c>
      <c r="E3020" s="435" t="s">
        <v>6781</v>
      </c>
    </row>
    <row r="3021" spans="4:5">
      <c r="D3021" s="437" t="s">
        <v>6783</v>
      </c>
      <c r="E3021" s="435"/>
    </row>
    <row r="3022" spans="4:5">
      <c r="D3022" s="437" t="s">
        <v>6784</v>
      </c>
      <c r="E3022" s="435"/>
    </row>
    <row r="3023" spans="4:5">
      <c r="D3023" s="437" t="s">
        <v>6785</v>
      </c>
      <c r="E3023" s="435"/>
    </row>
    <row r="3024" spans="4:5">
      <c r="D3024" s="437" t="s">
        <v>6786</v>
      </c>
      <c r="E3024" s="435"/>
    </row>
    <row r="3025" spans="4:5">
      <c r="D3025" s="437" t="s">
        <v>6787</v>
      </c>
      <c r="E3025" s="435"/>
    </row>
    <row r="3026" spans="4:5">
      <c r="D3026" s="437" t="s">
        <v>6788</v>
      </c>
      <c r="E3026" s="435"/>
    </row>
    <row r="3027" spans="4:5">
      <c r="D3027" s="437" t="s">
        <v>6789</v>
      </c>
      <c r="E3027" s="435"/>
    </row>
    <row r="3028" spans="4:5">
      <c r="D3028" s="437" t="s">
        <v>6790</v>
      </c>
      <c r="E3028" s="435"/>
    </row>
    <row r="3029" spans="4:5">
      <c r="D3029" s="437" t="s">
        <v>6791</v>
      </c>
      <c r="E3029" s="435"/>
    </row>
    <row r="3030" spans="4:5">
      <c r="D3030" s="437" t="s">
        <v>6792</v>
      </c>
      <c r="E3030" s="435"/>
    </row>
    <row r="3031" spans="4:5">
      <c r="D3031" s="437" t="s">
        <v>6793</v>
      </c>
      <c r="E3031" s="435"/>
    </row>
    <row r="3032" spans="4:5">
      <c r="D3032" s="434" t="s">
        <v>6794</v>
      </c>
      <c r="E3032" s="435" t="s">
        <v>6781</v>
      </c>
    </row>
    <row r="3033" spans="4:5">
      <c r="D3033" s="437" t="s">
        <v>6795</v>
      </c>
      <c r="E3033" s="435"/>
    </row>
    <row r="3034" spans="4:5">
      <c r="D3034" s="437" t="s">
        <v>6796</v>
      </c>
      <c r="E3034" s="435"/>
    </row>
    <row r="3035" spans="4:5">
      <c r="D3035" s="437" t="s">
        <v>6797</v>
      </c>
      <c r="E3035" s="435"/>
    </row>
    <row r="3036" spans="4:5">
      <c r="D3036" s="434" t="s">
        <v>6798</v>
      </c>
      <c r="E3036" s="435" t="s">
        <v>6799</v>
      </c>
    </row>
    <row r="3037" spans="4:5">
      <c r="D3037" s="437" t="s">
        <v>6800</v>
      </c>
      <c r="E3037" s="435"/>
    </row>
    <row r="3038" spans="4:5">
      <c r="D3038" s="437" t="s">
        <v>6801</v>
      </c>
      <c r="E3038" s="435"/>
    </row>
    <row r="3039" spans="4:5">
      <c r="D3039" s="437" t="s">
        <v>6802</v>
      </c>
      <c r="E3039" s="435"/>
    </row>
    <row r="3040" spans="4:5">
      <c r="D3040" s="437" t="s">
        <v>6803</v>
      </c>
      <c r="E3040" s="435"/>
    </row>
    <row r="3041" spans="4:5">
      <c r="D3041" s="437" t="s">
        <v>6804</v>
      </c>
      <c r="E3041" s="435"/>
    </row>
    <row r="3042" spans="4:5">
      <c r="D3042" s="434" t="s">
        <v>6805</v>
      </c>
      <c r="E3042" s="435" t="s">
        <v>6806</v>
      </c>
    </row>
    <row r="3043" spans="4:5">
      <c r="D3043" s="437" t="s">
        <v>6807</v>
      </c>
      <c r="E3043" s="435"/>
    </row>
    <row r="3044" spans="4:5">
      <c r="D3044" s="434" t="s">
        <v>6808</v>
      </c>
      <c r="E3044" s="435" t="s">
        <v>6809</v>
      </c>
    </row>
    <row r="3045" spans="4:5">
      <c r="D3045" s="437" t="s">
        <v>6810</v>
      </c>
      <c r="E3045" s="435"/>
    </row>
    <row r="3046" spans="4:5">
      <c r="D3046" s="434" t="s">
        <v>6811</v>
      </c>
      <c r="E3046" s="435" t="s">
        <v>6812</v>
      </c>
    </row>
    <row r="3047" spans="4:5">
      <c r="D3047" s="437" t="s">
        <v>6813</v>
      </c>
      <c r="E3047" s="435"/>
    </row>
    <row r="3048" spans="4:5">
      <c r="D3048" s="437" t="s">
        <v>6814</v>
      </c>
      <c r="E3048" s="435"/>
    </row>
    <row r="3049" spans="4:5">
      <c r="D3049" s="437" t="s">
        <v>6815</v>
      </c>
      <c r="E3049" s="435"/>
    </row>
    <row r="3050" spans="4:5">
      <c r="D3050" s="437" t="s">
        <v>6816</v>
      </c>
      <c r="E3050" s="435"/>
    </row>
    <row r="3051" spans="4:5">
      <c r="D3051" s="437" t="s">
        <v>6817</v>
      </c>
      <c r="E3051" s="435"/>
    </row>
    <row r="3052" spans="4:5">
      <c r="D3052" s="434" t="s">
        <v>6818</v>
      </c>
      <c r="E3052" s="435" t="s">
        <v>6819</v>
      </c>
    </row>
    <row r="3053" spans="4:5">
      <c r="D3053" s="437" t="s">
        <v>6820</v>
      </c>
      <c r="E3053" s="435"/>
    </row>
    <row r="3054" spans="4:5">
      <c r="D3054" s="437" t="s">
        <v>6821</v>
      </c>
      <c r="E3054" s="435"/>
    </row>
    <row r="3055" spans="4:5">
      <c r="D3055" s="437" t="s">
        <v>6822</v>
      </c>
      <c r="E3055" s="435"/>
    </row>
    <row r="3056" spans="4:5">
      <c r="D3056" s="437" t="s">
        <v>6823</v>
      </c>
      <c r="E3056" s="435"/>
    </row>
    <row r="3057" spans="4:5">
      <c r="D3057" s="434" t="s">
        <v>6824</v>
      </c>
      <c r="E3057" s="435" t="s">
        <v>6825</v>
      </c>
    </row>
    <row r="3058" spans="4:5">
      <c r="D3058" s="434" t="s">
        <v>6826</v>
      </c>
      <c r="E3058" s="435" t="s">
        <v>6825</v>
      </c>
    </row>
    <row r="3059" spans="4:5">
      <c r="D3059" s="437" t="s">
        <v>6827</v>
      </c>
      <c r="E3059" s="435"/>
    </row>
    <row r="3060" spans="4:5">
      <c r="D3060" s="437" t="s">
        <v>6828</v>
      </c>
      <c r="E3060" s="435"/>
    </row>
    <row r="3061" spans="4:5">
      <c r="D3061" s="434" t="s">
        <v>6807</v>
      </c>
      <c r="E3061" s="435" t="s">
        <v>6829</v>
      </c>
    </row>
    <row r="3062" spans="4:5">
      <c r="D3062" s="437" t="s">
        <v>6830</v>
      </c>
      <c r="E3062" s="435"/>
    </row>
    <row r="3063" spans="4:5">
      <c r="D3063" s="437" t="s">
        <v>6831</v>
      </c>
      <c r="E3063" s="435"/>
    </row>
    <row r="3064" spans="4:5">
      <c r="D3064" s="434" t="s">
        <v>6832</v>
      </c>
      <c r="E3064" s="435" t="s">
        <v>6833</v>
      </c>
    </row>
    <row r="3065" spans="4:5">
      <c r="D3065" s="437" t="s">
        <v>6834</v>
      </c>
      <c r="E3065" s="435"/>
    </row>
    <row r="3066" spans="4:5">
      <c r="D3066" s="437" t="s">
        <v>6835</v>
      </c>
      <c r="E3066" s="435"/>
    </row>
    <row r="3067" spans="4:5">
      <c r="D3067" s="437" t="s">
        <v>6836</v>
      </c>
      <c r="E3067" s="435"/>
    </row>
    <row r="3068" spans="4:5">
      <c r="D3068" s="434" t="s">
        <v>6837</v>
      </c>
      <c r="E3068" s="435" t="s">
        <v>6838</v>
      </c>
    </row>
    <row r="3069" spans="4:5">
      <c r="D3069" s="434" t="s">
        <v>6839</v>
      </c>
      <c r="E3069" s="435" t="s">
        <v>6838</v>
      </c>
    </row>
    <row r="3070" spans="4:5">
      <c r="D3070" s="437" t="s">
        <v>6840</v>
      </c>
      <c r="E3070" s="435"/>
    </row>
    <row r="3071" spans="4:5">
      <c r="D3071" s="437" t="s">
        <v>6841</v>
      </c>
      <c r="E3071" s="435"/>
    </row>
    <row r="3072" spans="4:5">
      <c r="D3072" s="437" t="s">
        <v>6842</v>
      </c>
      <c r="E3072" s="435"/>
    </row>
    <row r="3073" spans="4:5">
      <c r="D3073" s="437" t="s">
        <v>6843</v>
      </c>
      <c r="E3073" s="435"/>
    </row>
    <row r="3074" spans="4:5">
      <c r="D3074" s="437" t="s">
        <v>6844</v>
      </c>
      <c r="E3074" s="435"/>
    </row>
    <row r="3075" spans="4:5">
      <c r="D3075" s="437" t="s">
        <v>6845</v>
      </c>
      <c r="E3075" s="435"/>
    </row>
    <row r="3076" spans="4:5">
      <c r="D3076" s="434" t="s">
        <v>6846</v>
      </c>
      <c r="E3076" s="435" t="s">
        <v>6847</v>
      </c>
    </row>
    <row r="3077" spans="4:5">
      <c r="D3077" s="437" t="s">
        <v>6848</v>
      </c>
      <c r="E3077" s="435"/>
    </row>
    <row r="3078" spans="4:5">
      <c r="D3078" s="437" t="s">
        <v>6849</v>
      </c>
      <c r="E3078" s="435"/>
    </row>
    <row r="3079" spans="4:5">
      <c r="D3079" s="437" t="s">
        <v>6850</v>
      </c>
      <c r="E3079" s="435"/>
    </row>
    <row r="3080" spans="4:5">
      <c r="D3080" s="437" t="s">
        <v>6851</v>
      </c>
      <c r="E3080" s="435"/>
    </row>
    <row r="3081" spans="4:5">
      <c r="D3081" s="437" t="s">
        <v>6852</v>
      </c>
      <c r="E3081" s="435"/>
    </row>
    <row r="3082" spans="4:5">
      <c r="D3082" s="437" t="s">
        <v>6853</v>
      </c>
      <c r="E3082" s="435"/>
    </row>
    <row r="3083" spans="4:5">
      <c r="D3083" s="437" t="s">
        <v>6854</v>
      </c>
      <c r="E3083" s="435"/>
    </row>
    <row r="3084" spans="4:5">
      <c r="D3084" s="434" t="s">
        <v>6855</v>
      </c>
      <c r="E3084" s="435" t="s">
        <v>6856</v>
      </c>
    </row>
    <row r="3085" spans="4:5">
      <c r="D3085" s="437" t="s">
        <v>6857</v>
      </c>
      <c r="E3085" s="435"/>
    </row>
    <row r="3086" spans="4:5">
      <c r="D3086" s="434" t="s">
        <v>6858</v>
      </c>
      <c r="E3086" s="435" t="s">
        <v>6859</v>
      </c>
    </row>
    <row r="3087" spans="4:5">
      <c r="D3087" s="434" t="s">
        <v>6860</v>
      </c>
      <c r="E3087" s="435" t="s">
        <v>6859</v>
      </c>
    </row>
    <row r="3088" spans="4:5">
      <c r="D3088" s="437" t="s">
        <v>6861</v>
      </c>
      <c r="E3088" s="435"/>
    </row>
    <row r="3089" spans="4:5">
      <c r="D3089" s="437" t="s">
        <v>6862</v>
      </c>
      <c r="E3089" s="435"/>
    </row>
    <row r="3090" spans="4:5">
      <c r="D3090" s="437" t="s">
        <v>6863</v>
      </c>
      <c r="E3090" s="435"/>
    </row>
    <row r="3091" spans="4:5">
      <c r="D3091" s="437" t="s">
        <v>6864</v>
      </c>
      <c r="E3091" s="435"/>
    </row>
    <row r="3092" spans="4:5">
      <c r="D3092" s="437" t="s">
        <v>6865</v>
      </c>
      <c r="E3092" s="435"/>
    </row>
    <row r="3093" spans="4:5">
      <c r="D3093" s="437" t="s">
        <v>6866</v>
      </c>
      <c r="E3093" s="435"/>
    </row>
    <row r="3094" spans="4:5">
      <c r="D3094" s="437" t="s">
        <v>6867</v>
      </c>
      <c r="E3094" s="435"/>
    </row>
    <row r="3095" spans="4:5">
      <c r="D3095" s="434" t="s">
        <v>6868</v>
      </c>
      <c r="E3095" s="435" t="s">
        <v>6859</v>
      </c>
    </row>
    <row r="3096" spans="4:5">
      <c r="D3096" s="437" t="s">
        <v>6869</v>
      </c>
      <c r="E3096" s="435"/>
    </row>
    <row r="3097" spans="4:5">
      <c r="D3097" s="437" t="s">
        <v>6870</v>
      </c>
      <c r="E3097" s="435"/>
    </row>
    <row r="3098" spans="4:5">
      <c r="D3098" s="437" t="s">
        <v>6871</v>
      </c>
      <c r="E3098" s="435"/>
    </row>
    <row r="3099" spans="4:5">
      <c r="D3099" s="434" t="s">
        <v>6872</v>
      </c>
      <c r="E3099" s="435" t="s">
        <v>6873</v>
      </c>
    </row>
    <row r="3100" spans="4:5">
      <c r="D3100" s="434" t="s">
        <v>6874</v>
      </c>
      <c r="E3100" s="435" t="s">
        <v>6875</v>
      </c>
    </row>
    <row r="3101" spans="4:5">
      <c r="D3101" s="434" t="s">
        <v>6876</v>
      </c>
      <c r="E3101" s="435" t="s">
        <v>6877</v>
      </c>
    </row>
    <row r="3102" spans="4:5">
      <c r="D3102" s="437" t="s">
        <v>6878</v>
      </c>
      <c r="E3102" s="435"/>
    </row>
    <row r="3103" spans="4:5">
      <c r="D3103" s="437" t="s">
        <v>6879</v>
      </c>
      <c r="E3103" s="435"/>
    </row>
    <row r="3104" spans="4:5">
      <c r="D3104" s="437" t="s">
        <v>6880</v>
      </c>
      <c r="E3104" s="435"/>
    </row>
    <row r="3105" spans="4:5">
      <c r="D3105" s="437" t="s">
        <v>6881</v>
      </c>
      <c r="E3105" s="435"/>
    </row>
    <row r="3106" spans="4:5">
      <c r="D3106" s="437" t="s">
        <v>6882</v>
      </c>
      <c r="E3106" s="435"/>
    </row>
    <row r="3107" spans="4:5">
      <c r="D3107" s="434" t="s">
        <v>6883</v>
      </c>
      <c r="E3107" s="435" t="s">
        <v>6884</v>
      </c>
    </row>
    <row r="3108" spans="4:5">
      <c r="D3108" s="437" t="s">
        <v>6885</v>
      </c>
      <c r="E3108" s="435"/>
    </row>
    <row r="3109" spans="4:5">
      <c r="D3109" s="437" t="s">
        <v>6886</v>
      </c>
      <c r="E3109" s="435"/>
    </row>
    <row r="3110" spans="4:5">
      <c r="D3110" s="437" t="s">
        <v>6887</v>
      </c>
      <c r="E3110" s="435"/>
    </row>
    <row r="3111" spans="4:5">
      <c r="D3111" s="437" t="s">
        <v>6888</v>
      </c>
      <c r="E3111" s="435"/>
    </row>
    <row r="3112" spans="4:5">
      <c r="D3112" s="434" t="s">
        <v>6889</v>
      </c>
      <c r="E3112" s="435" t="s">
        <v>6890</v>
      </c>
    </row>
    <row r="3113" spans="4:5">
      <c r="D3113" s="437" t="s">
        <v>6891</v>
      </c>
      <c r="E3113" s="435"/>
    </row>
    <row r="3114" spans="4:5">
      <c r="D3114" s="437" t="s">
        <v>6892</v>
      </c>
      <c r="E3114" s="435"/>
    </row>
    <row r="3115" spans="4:5">
      <c r="D3115" s="437" t="s">
        <v>6893</v>
      </c>
      <c r="E3115" s="435"/>
    </row>
    <row r="3116" spans="4:5">
      <c r="D3116" s="434" t="s">
        <v>6894</v>
      </c>
      <c r="E3116" s="435" t="s">
        <v>1244</v>
      </c>
    </row>
    <row r="3117" spans="4:5">
      <c r="D3117" s="437" t="s">
        <v>6895</v>
      </c>
      <c r="E3117" s="435"/>
    </row>
    <row r="3118" spans="4:5">
      <c r="D3118" s="434" t="s">
        <v>6896</v>
      </c>
      <c r="E3118" s="435" t="s">
        <v>6897</v>
      </c>
    </row>
    <row r="3119" spans="4:5">
      <c r="D3119" s="437" t="s">
        <v>6898</v>
      </c>
      <c r="E3119" s="435"/>
    </row>
    <row r="3120" spans="4:5">
      <c r="D3120" s="437" t="s">
        <v>6899</v>
      </c>
      <c r="E3120" s="435"/>
    </row>
    <row r="3121" spans="4:5">
      <c r="D3121" s="437" t="s">
        <v>6900</v>
      </c>
      <c r="E3121" s="435"/>
    </row>
    <row r="3122" spans="4:5">
      <c r="D3122" s="437" t="s">
        <v>6901</v>
      </c>
      <c r="E3122" s="435"/>
    </row>
    <row r="3123" spans="4:5">
      <c r="D3123" s="437" t="s">
        <v>6902</v>
      </c>
      <c r="E3123" s="435"/>
    </row>
    <row r="3124" spans="4:5">
      <c r="D3124" s="437" t="s">
        <v>6903</v>
      </c>
      <c r="E3124" s="435"/>
    </row>
    <row r="3125" spans="4:5">
      <c r="D3125" s="437" t="s">
        <v>6904</v>
      </c>
      <c r="E3125" s="435"/>
    </row>
    <row r="3126" spans="4:5">
      <c r="D3126" s="437" t="s">
        <v>6905</v>
      </c>
      <c r="E3126" s="435"/>
    </row>
    <row r="3127" spans="4:5">
      <c r="D3127" s="434" t="s">
        <v>6906</v>
      </c>
      <c r="E3127" s="435" t="s">
        <v>6907</v>
      </c>
    </row>
    <row r="3128" spans="4:5">
      <c r="D3128" s="434" t="s">
        <v>6908</v>
      </c>
      <c r="E3128" s="435" t="s">
        <v>6907</v>
      </c>
    </row>
    <row r="3129" spans="4:5">
      <c r="D3129" s="437" t="s">
        <v>6909</v>
      </c>
      <c r="E3129" s="435"/>
    </row>
    <row r="3130" spans="4:5">
      <c r="D3130" s="437" t="s">
        <v>6910</v>
      </c>
      <c r="E3130" s="435"/>
    </row>
    <row r="3131" spans="4:5">
      <c r="D3131" s="437" t="s">
        <v>6911</v>
      </c>
      <c r="E3131" s="435"/>
    </row>
    <row r="3132" spans="4:5">
      <c r="D3132" s="437" t="s">
        <v>6912</v>
      </c>
      <c r="E3132" s="435"/>
    </row>
    <row r="3133" spans="4:5">
      <c r="D3133" s="437" t="s">
        <v>6913</v>
      </c>
      <c r="E3133" s="435"/>
    </row>
    <row r="3134" spans="4:5">
      <c r="D3134" s="437" t="s">
        <v>6914</v>
      </c>
      <c r="E3134" s="435"/>
    </row>
    <row r="3135" spans="4:5">
      <c r="D3135" s="434" t="s">
        <v>6915</v>
      </c>
      <c r="E3135" s="435" t="s">
        <v>6916</v>
      </c>
    </row>
    <row r="3136" spans="4:5">
      <c r="D3136" s="437" t="s">
        <v>6917</v>
      </c>
      <c r="E3136" s="435"/>
    </row>
    <row r="3137" spans="4:5">
      <c r="D3137" s="437" t="s">
        <v>6918</v>
      </c>
      <c r="E3137" s="435"/>
    </row>
    <row r="3138" spans="4:5">
      <c r="D3138" s="437" t="s">
        <v>6919</v>
      </c>
      <c r="E3138" s="435"/>
    </row>
    <row r="3139" spans="4:5">
      <c r="D3139" s="437" t="s">
        <v>6920</v>
      </c>
      <c r="E3139" s="435"/>
    </row>
    <row r="3140" spans="4:5">
      <c r="D3140" s="437" t="s">
        <v>6921</v>
      </c>
      <c r="E3140" s="435"/>
    </row>
    <row r="3141" spans="4:5">
      <c r="D3141" s="437" t="s">
        <v>6922</v>
      </c>
      <c r="E3141" s="435"/>
    </row>
    <row r="3142" spans="4:5">
      <c r="D3142" s="437" t="s">
        <v>6923</v>
      </c>
      <c r="E3142" s="435"/>
    </row>
    <row r="3143" spans="4:5">
      <c r="D3143" s="437" t="s">
        <v>6924</v>
      </c>
      <c r="E3143" s="435"/>
    </row>
    <row r="3144" spans="4:5">
      <c r="D3144" s="437" t="s">
        <v>6925</v>
      </c>
      <c r="E3144" s="435"/>
    </row>
    <row r="3145" spans="4:5">
      <c r="D3145" s="437" t="s">
        <v>6926</v>
      </c>
      <c r="E3145" s="435"/>
    </row>
    <row r="3146" spans="4:5">
      <c r="D3146" s="437" t="s">
        <v>6927</v>
      </c>
      <c r="E3146" s="435"/>
    </row>
    <row r="3147" spans="4:5">
      <c r="D3147" s="437" t="s">
        <v>6928</v>
      </c>
      <c r="E3147" s="435"/>
    </row>
    <row r="3148" spans="4:5">
      <c r="D3148" s="437" t="s">
        <v>6929</v>
      </c>
      <c r="E3148" s="435"/>
    </row>
    <row r="3149" spans="4:5">
      <c r="D3149" s="434" t="s">
        <v>6930</v>
      </c>
      <c r="E3149" s="435" t="s">
        <v>6931</v>
      </c>
    </row>
    <row r="3150" spans="4:5">
      <c r="D3150" s="437" t="s">
        <v>6932</v>
      </c>
      <c r="E3150" s="435"/>
    </row>
    <row r="3151" spans="4:5">
      <c r="D3151" s="437" t="s">
        <v>6933</v>
      </c>
      <c r="E3151" s="435"/>
    </row>
    <row r="3152" spans="4:5">
      <c r="D3152" s="434" t="s">
        <v>6934</v>
      </c>
      <c r="E3152" s="435" t="s">
        <v>6935</v>
      </c>
    </row>
    <row r="3153" spans="4:5">
      <c r="D3153" s="437" t="s">
        <v>6936</v>
      </c>
      <c r="E3153" s="435"/>
    </row>
    <row r="3154" spans="4:5">
      <c r="D3154" s="437" t="s">
        <v>6937</v>
      </c>
      <c r="E3154" s="435"/>
    </row>
    <row r="3155" spans="4:5">
      <c r="D3155" s="437" t="s">
        <v>6938</v>
      </c>
      <c r="E3155" s="435"/>
    </row>
    <row r="3156" spans="4:5">
      <c r="D3156" s="437" t="s">
        <v>6939</v>
      </c>
      <c r="E3156" s="435"/>
    </row>
    <row r="3157" spans="4:5">
      <c r="D3157" s="437" t="s">
        <v>6940</v>
      </c>
      <c r="E3157" s="435"/>
    </row>
    <row r="3158" spans="4:5">
      <c r="D3158" s="434" t="s">
        <v>6941</v>
      </c>
      <c r="E3158" s="435" t="s">
        <v>6942</v>
      </c>
    </row>
    <row r="3159" spans="4:5">
      <c r="D3159" s="434" t="s">
        <v>6943</v>
      </c>
      <c r="E3159" s="435" t="s">
        <v>6942</v>
      </c>
    </row>
    <row r="3160" spans="4:5">
      <c r="D3160" s="437" t="s">
        <v>6944</v>
      </c>
      <c r="E3160" s="435"/>
    </row>
    <row r="3161" spans="4:5">
      <c r="D3161" s="437" t="s">
        <v>6945</v>
      </c>
      <c r="E3161" s="435"/>
    </row>
    <row r="3162" spans="4:5">
      <c r="D3162" s="434" t="s">
        <v>6946</v>
      </c>
      <c r="E3162" s="435" t="s">
        <v>6947</v>
      </c>
    </row>
    <row r="3163" spans="4:5">
      <c r="D3163" s="434" t="s">
        <v>6948</v>
      </c>
      <c r="E3163" s="435" t="s">
        <v>6949</v>
      </c>
    </row>
    <row r="3164" spans="4:5">
      <c r="D3164" s="434" t="s">
        <v>6950</v>
      </c>
      <c r="E3164" s="435" t="s">
        <v>6949</v>
      </c>
    </row>
    <row r="3165" spans="4:5">
      <c r="D3165" s="434" t="s">
        <v>6951</v>
      </c>
      <c r="E3165" s="435" t="s">
        <v>6952</v>
      </c>
    </row>
    <row r="3166" spans="4:5">
      <c r="D3166" s="434" t="s">
        <v>6953</v>
      </c>
      <c r="E3166" s="435" t="s">
        <v>6952</v>
      </c>
    </row>
    <row r="3167" spans="4:5">
      <c r="D3167" s="437" t="s">
        <v>6954</v>
      </c>
      <c r="E3167" s="435"/>
    </row>
    <row r="3168" spans="4:5">
      <c r="D3168" s="437" t="s">
        <v>6955</v>
      </c>
      <c r="E3168" s="435"/>
    </row>
    <row r="3169" spans="4:5">
      <c r="D3169" s="437" t="s">
        <v>6956</v>
      </c>
      <c r="E3169" s="435"/>
    </row>
    <row r="3170" spans="4:5">
      <c r="D3170" s="437" t="s">
        <v>6957</v>
      </c>
      <c r="E3170" s="435"/>
    </row>
    <row r="3171" spans="4:5">
      <c r="D3171" s="437" t="s">
        <v>6958</v>
      </c>
      <c r="E3171" s="435"/>
    </row>
    <row r="3172" spans="4:5">
      <c r="D3172" s="437" t="s">
        <v>6959</v>
      </c>
      <c r="E3172" s="435"/>
    </row>
    <row r="3173" spans="4:5">
      <c r="D3173" s="437" t="s">
        <v>6960</v>
      </c>
      <c r="E3173" s="435"/>
    </row>
    <row r="3174" spans="4:5">
      <c r="D3174" s="434" t="s">
        <v>6961</v>
      </c>
      <c r="E3174" s="435" t="s">
        <v>6962</v>
      </c>
    </row>
    <row r="3175" spans="4:5">
      <c r="D3175" s="437" t="s">
        <v>6963</v>
      </c>
      <c r="E3175" s="435"/>
    </row>
    <row r="3176" spans="4:5">
      <c r="D3176" s="437" t="s">
        <v>6964</v>
      </c>
      <c r="E3176" s="435"/>
    </row>
    <row r="3177" spans="4:5">
      <c r="D3177" s="437" t="s">
        <v>6965</v>
      </c>
      <c r="E3177" s="435"/>
    </row>
    <row r="3178" spans="4:5">
      <c r="D3178" s="437" t="s">
        <v>6966</v>
      </c>
      <c r="E3178" s="435"/>
    </row>
    <row r="3179" spans="4:5">
      <c r="D3179" s="437" t="s">
        <v>6967</v>
      </c>
      <c r="E3179" s="435"/>
    </row>
    <row r="3180" spans="4:5">
      <c r="D3180" s="437" t="s">
        <v>6968</v>
      </c>
      <c r="E3180" s="435"/>
    </row>
    <row r="3181" spans="4:5">
      <c r="D3181" s="437" t="s">
        <v>6969</v>
      </c>
      <c r="E3181" s="435"/>
    </row>
    <row r="3182" spans="4:5">
      <c r="D3182" s="437" t="s">
        <v>6970</v>
      </c>
      <c r="E3182" s="435"/>
    </row>
    <row r="3183" spans="4:5">
      <c r="D3183" s="437" t="s">
        <v>6971</v>
      </c>
      <c r="E3183" s="435"/>
    </row>
    <row r="3184" spans="4:5">
      <c r="D3184" s="437" t="s">
        <v>6972</v>
      </c>
      <c r="E3184" s="435"/>
    </row>
    <row r="3185" spans="4:5">
      <c r="D3185" s="437" t="s">
        <v>6973</v>
      </c>
      <c r="E3185" s="435"/>
    </row>
    <row r="3186" spans="4:5">
      <c r="D3186" s="437" t="s">
        <v>6974</v>
      </c>
      <c r="E3186" s="435"/>
    </row>
    <row r="3187" spans="4:5">
      <c r="D3187" s="437" t="s">
        <v>6975</v>
      </c>
      <c r="E3187" s="435"/>
    </row>
    <row r="3188" spans="4:5">
      <c r="D3188" s="437" t="s">
        <v>6976</v>
      </c>
      <c r="E3188" s="435"/>
    </row>
    <row r="3189" spans="4:5">
      <c r="D3189" s="437" t="s">
        <v>6977</v>
      </c>
      <c r="E3189" s="435"/>
    </row>
    <row r="3190" spans="4:5">
      <c r="D3190" s="434" t="s">
        <v>6973</v>
      </c>
      <c r="E3190" s="435" t="s">
        <v>6978</v>
      </c>
    </row>
    <row r="3191" spans="4:5">
      <c r="D3191" s="437" t="s">
        <v>6979</v>
      </c>
      <c r="E3191" s="435"/>
    </row>
    <row r="3192" spans="4:5">
      <c r="D3192" s="437" t="s">
        <v>6980</v>
      </c>
      <c r="E3192" s="435"/>
    </row>
    <row r="3193" spans="4:5">
      <c r="D3193" s="437" t="s">
        <v>6981</v>
      </c>
      <c r="E3193" s="435"/>
    </row>
    <row r="3194" spans="4:5">
      <c r="D3194" s="437" t="s">
        <v>6982</v>
      </c>
      <c r="E3194" s="435"/>
    </row>
    <row r="3195" spans="4:5">
      <c r="D3195" s="437" t="s">
        <v>6983</v>
      </c>
      <c r="E3195" s="435"/>
    </row>
    <row r="3196" spans="4:5">
      <c r="D3196" s="437" t="s">
        <v>6984</v>
      </c>
      <c r="E3196" s="435"/>
    </row>
    <row r="3197" spans="4:5">
      <c r="D3197" s="437" t="s">
        <v>6985</v>
      </c>
      <c r="E3197" s="435"/>
    </row>
    <row r="3198" spans="4:5">
      <c r="D3198" s="437" t="s">
        <v>6986</v>
      </c>
      <c r="E3198" s="435"/>
    </row>
    <row r="3199" spans="4:5">
      <c r="D3199" s="437" t="s">
        <v>6987</v>
      </c>
      <c r="E3199" s="435"/>
    </row>
    <row r="3200" spans="4:5">
      <c r="D3200" s="437" t="s">
        <v>6988</v>
      </c>
      <c r="E3200" s="435"/>
    </row>
    <row r="3201" spans="4:5">
      <c r="D3201" s="437" t="s">
        <v>6989</v>
      </c>
      <c r="E3201" s="435"/>
    </row>
    <row r="3202" spans="4:5">
      <c r="D3202" s="437" t="s">
        <v>6990</v>
      </c>
      <c r="E3202" s="435"/>
    </row>
    <row r="3203" spans="4:5">
      <c r="D3203" s="437" t="s">
        <v>6991</v>
      </c>
      <c r="E3203" s="435"/>
    </row>
    <row r="3204" spans="4:5">
      <c r="D3204" s="437" t="s">
        <v>6992</v>
      </c>
      <c r="E3204" s="435"/>
    </row>
    <row r="3205" spans="4:5">
      <c r="D3205" s="437" t="s">
        <v>6993</v>
      </c>
      <c r="E3205" s="435"/>
    </row>
    <row r="3206" spans="4:5">
      <c r="D3206" s="437" t="s">
        <v>6994</v>
      </c>
      <c r="E3206" s="435"/>
    </row>
    <row r="3207" spans="4:5">
      <c r="D3207" s="437" t="s">
        <v>6995</v>
      </c>
      <c r="E3207" s="435"/>
    </row>
    <row r="3208" spans="4:5">
      <c r="D3208" s="437" t="s">
        <v>6996</v>
      </c>
      <c r="E3208" s="435"/>
    </row>
    <row r="3209" spans="4:5">
      <c r="D3209" s="437" t="s">
        <v>6997</v>
      </c>
      <c r="E3209" s="435"/>
    </row>
    <row r="3210" spans="4:5">
      <c r="D3210" s="437" t="s">
        <v>6998</v>
      </c>
      <c r="E3210" s="435"/>
    </row>
    <row r="3211" spans="4:5">
      <c r="D3211" s="437" t="s">
        <v>6999</v>
      </c>
      <c r="E3211" s="435"/>
    </row>
    <row r="3212" spans="4:5">
      <c r="D3212" s="437" t="s">
        <v>7000</v>
      </c>
      <c r="E3212" s="435"/>
    </row>
    <row r="3213" spans="4:5">
      <c r="D3213" s="437" t="s">
        <v>7001</v>
      </c>
      <c r="E3213" s="435"/>
    </row>
    <row r="3214" spans="4:5">
      <c r="D3214" s="437" t="s">
        <v>7002</v>
      </c>
      <c r="E3214" s="435"/>
    </row>
    <row r="3215" spans="4:5">
      <c r="D3215" s="434" t="s">
        <v>7003</v>
      </c>
      <c r="E3215" s="435" t="s">
        <v>7004</v>
      </c>
    </row>
    <row r="3216" spans="4:5">
      <c r="D3216" s="437" t="s">
        <v>7005</v>
      </c>
      <c r="E3216" s="435"/>
    </row>
    <row r="3217" spans="4:5">
      <c r="D3217" s="437" t="s">
        <v>7006</v>
      </c>
      <c r="E3217" s="435"/>
    </row>
    <row r="3218" spans="4:5">
      <c r="D3218" s="437" t="s">
        <v>7007</v>
      </c>
      <c r="E3218" s="435"/>
    </row>
    <row r="3219" spans="4:5">
      <c r="D3219" s="434" t="s">
        <v>7008</v>
      </c>
      <c r="E3219" s="435" t="s">
        <v>7009</v>
      </c>
    </row>
    <row r="3220" spans="4:5">
      <c r="D3220" s="437" t="s">
        <v>7010</v>
      </c>
      <c r="E3220" s="435"/>
    </row>
    <row r="3221" spans="4:5">
      <c r="D3221" s="437" t="s">
        <v>7011</v>
      </c>
      <c r="E3221" s="435"/>
    </row>
    <row r="3222" spans="4:5">
      <c r="D3222" s="437" t="s">
        <v>7012</v>
      </c>
      <c r="E3222" s="435"/>
    </row>
    <row r="3223" spans="4:5">
      <c r="D3223" s="437" t="s">
        <v>7013</v>
      </c>
      <c r="E3223" s="435"/>
    </row>
    <row r="3224" spans="4:5">
      <c r="D3224" s="434" t="s">
        <v>7014</v>
      </c>
      <c r="E3224" s="435" t="s">
        <v>7015</v>
      </c>
    </row>
    <row r="3225" spans="4:5">
      <c r="D3225" s="434" t="s">
        <v>7016</v>
      </c>
      <c r="E3225" s="435" t="s">
        <v>7015</v>
      </c>
    </row>
    <row r="3226" spans="4:5">
      <c r="D3226" s="437" t="s">
        <v>7017</v>
      </c>
      <c r="E3226" s="435"/>
    </row>
    <row r="3227" spans="4:5">
      <c r="D3227" s="434" t="s">
        <v>7018</v>
      </c>
      <c r="E3227" s="435" t="s">
        <v>7019</v>
      </c>
    </row>
    <row r="3228" spans="4:5">
      <c r="D3228" s="437" t="s">
        <v>7020</v>
      </c>
      <c r="E3228" s="435"/>
    </row>
    <row r="3229" spans="4:5">
      <c r="D3229" s="437" t="s">
        <v>7021</v>
      </c>
      <c r="E3229" s="435"/>
    </row>
    <row r="3230" spans="4:5">
      <c r="D3230" s="437" t="s">
        <v>7022</v>
      </c>
      <c r="E3230" s="435"/>
    </row>
    <row r="3231" spans="4:5">
      <c r="D3231" s="437" t="s">
        <v>7023</v>
      </c>
      <c r="E3231" s="435"/>
    </row>
    <row r="3232" spans="4:5">
      <c r="D3232" s="437" t="s">
        <v>7024</v>
      </c>
      <c r="E3232" s="435"/>
    </row>
    <row r="3233" spans="4:5">
      <c r="D3233" s="434" t="s">
        <v>7025</v>
      </c>
      <c r="E3233" s="435" t="s">
        <v>7026</v>
      </c>
    </row>
    <row r="3234" spans="4:5">
      <c r="D3234" s="437" t="s">
        <v>7027</v>
      </c>
      <c r="E3234" s="435"/>
    </row>
    <row r="3235" spans="4:5">
      <c r="D3235" s="437" t="s">
        <v>7028</v>
      </c>
      <c r="E3235" s="435"/>
    </row>
    <row r="3236" spans="4:5">
      <c r="D3236" s="434" t="s">
        <v>7029</v>
      </c>
      <c r="E3236" s="435" t="s">
        <v>7030</v>
      </c>
    </row>
    <row r="3237" spans="4:5">
      <c r="D3237" s="437" t="s">
        <v>7031</v>
      </c>
      <c r="E3237" s="435"/>
    </row>
    <row r="3238" spans="4:5">
      <c r="D3238" s="437" t="s">
        <v>7032</v>
      </c>
      <c r="E3238" s="435"/>
    </row>
    <row r="3239" spans="4:5">
      <c r="D3239" s="437" t="s">
        <v>7033</v>
      </c>
      <c r="E3239" s="435"/>
    </row>
    <row r="3240" spans="4:5">
      <c r="D3240" s="437" t="s">
        <v>7034</v>
      </c>
      <c r="E3240" s="435"/>
    </row>
    <row r="3241" spans="4:5">
      <c r="D3241" s="437" t="s">
        <v>7035</v>
      </c>
      <c r="E3241" s="435"/>
    </row>
    <row r="3242" spans="4:5">
      <c r="D3242" s="437" t="s">
        <v>7036</v>
      </c>
      <c r="E3242" s="435"/>
    </row>
    <row r="3243" spans="4:5">
      <c r="D3243" s="437" t="s">
        <v>7037</v>
      </c>
      <c r="E3243" s="435"/>
    </row>
    <row r="3244" spans="4:5">
      <c r="D3244" s="437" t="s">
        <v>7038</v>
      </c>
      <c r="E3244" s="435"/>
    </row>
    <row r="3245" spans="4:5">
      <c r="D3245" s="437" t="s">
        <v>7039</v>
      </c>
      <c r="E3245" s="435"/>
    </row>
    <row r="3246" spans="4:5">
      <c r="D3246" s="437" t="s">
        <v>7040</v>
      </c>
      <c r="E3246" s="435"/>
    </row>
    <row r="3247" spans="4:5">
      <c r="D3247" s="437" t="s">
        <v>7041</v>
      </c>
      <c r="E3247" s="435"/>
    </row>
    <row r="3248" spans="4:5">
      <c r="D3248" s="437" t="s">
        <v>7042</v>
      </c>
      <c r="E3248" s="435"/>
    </row>
    <row r="3249" spans="4:5">
      <c r="D3249" s="434" t="s">
        <v>7043</v>
      </c>
      <c r="E3249" s="435" t="s">
        <v>7044</v>
      </c>
    </row>
    <row r="3250" spans="4:5">
      <c r="D3250" s="437" t="s">
        <v>7045</v>
      </c>
      <c r="E3250" s="435"/>
    </row>
    <row r="3251" spans="4:5">
      <c r="D3251" s="437" t="s">
        <v>7046</v>
      </c>
      <c r="E3251" s="435"/>
    </row>
    <row r="3252" spans="4:5">
      <c r="D3252" s="434" t="s">
        <v>7047</v>
      </c>
      <c r="E3252" s="435" t="s">
        <v>7048</v>
      </c>
    </row>
    <row r="3253" spans="4:5">
      <c r="D3253" s="434" t="s">
        <v>7049</v>
      </c>
      <c r="E3253" s="435" t="s">
        <v>7048</v>
      </c>
    </row>
    <row r="3254" spans="4:5">
      <c r="D3254" s="437" t="s">
        <v>7050</v>
      </c>
      <c r="E3254" s="435"/>
    </row>
    <row r="3255" spans="4:5">
      <c r="D3255" s="437" t="s">
        <v>7051</v>
      </c>
      <c r="E3255" s="435"/>
    </row>
    <row r="3256" spans="4:5">
      <c r="D3256" s="437" t="s">
        <v>7052</v>
      </c>
      <c r="E3256" s="435"/>
    </row>
    <row r="3257" spans="4:5">
      <c r="D3257" s="437" t="s">
        <v>7053</v>
      </c>
      <c r="E3257" s="435"/>
    </row>
    <row r="3258" spans="4:5">
      <c r="D3258" s="434" t="s">
        <v>7054</v>
      </c>
      <c r="E3258" s="435" t="s">
        <v>7055</v>
      </c>
    </row>
    <row r="3259" spans="4:5">
      <c r="D3259" s="434" t="s">
        <v>7056</v>
      </c>
      <c r="E3259" s="435" t="s">
        <v>7057</v>
      </c>
    </row>
    <row r="3260" spans="4:5">
      <c r="D3260" s="437" t="s">
        <v>7058</v>
      </c>
      <c r="E3260" s="435"/>
    </row>
    <row r="3261" spans="4:5">
      <c r="D3261" s="437" t="s">
        <v>7059</v>
      </c>
      <c r="E3261" s="435"/>
    </row>
    <row r="3262" spans="4:5">
      <c r="D3262" s="437" t="s">
        <v>7060</v>
      </c>
      <c r="E3262" s="435"/>
    </row>
    <row r="3263" spans="4:5">
      <c r="D3263" s="434" t="s">
        <v>7061</v>
      </c>
      <c r="E3263" s="435" t="s">
        <v>7062</v>
      </c>
    </row>
    <row r="3264" spans="4:5">
      <c r="D3264" s="437" t="s">
        <v>7063</v>
      </c>
      <c r="E3264" s="435"/>
    </row>
    <row r="3265" spans="4:5">
      <c r="D3265" s="434" t="s">
        <v>7064</v>
      </c>
      <c r="E3265" s="435" t="s">
        <v>7065</v>
      </c>
    </row>
    <row r="3266" spans="4:5">
      <c r="D3266" s="437" t="s">
        <v>7066</v>
      </c>
      <c r="E3266" s="435"/>
    </row>
    <row r="3267" spans="4:5">
      <c r="D3267" s="437" t="s">
        <v>7067</v>
      </c>
      <c r="E3267" s="435"/>
    </row>
    <row r="3268" spans="4:5">
      <c r="D3268" s="437" t="s">
        <v>7068</v>
      </c>
      <c r="E3268" s="435"/>
    </row>
    <row r="3269" spans="4:5">
      <c r="D3269" s="434" t="s">
        <v>7069</v>
      </c>
      <c r="E3269" s="435" t="s">
        <v>7070</v>
      </c>
    </row>
    <row r="3270" spans="4:5">
      <c r="D3270" s="434" t="s">
        <v>7071</v>
      </c>
      <c r="E3270" s="435" t="s">
        <v>7070</v>
      </c>
    </row>
    <row r="3271" spans="4:5">
      <c r="D3271" s="437" t="s">
        <v>7072</v>
      </c>
      <c r="E3271" s="435"/>
    </row>
    <row r="3272" spans="4:5">
      <c r="D3272" s="437" t="s">
        <v>7073</v>
      </c>
      <c r="E3272" s="435"/>
    </row>
    <row r="3273" spans="4:5">
      <c r="D3273" s="434" t="s">
        <v>7074</v>
      </c>
      <c r="E3273" s="435" t="s">
        <v>7075</v>
      </c>
    </row>
    <row r="3274" spans="4:5">
      <c r="D3274" s="434" t="s">
        <v>7076</v>
      </c>
      <c r="E3274" s="435" t="s">
        <v>7075</v>
      </c>
    </row>
    <row r="3275" spans="4:5">
      <c r="D3275" s="437" t="s">
        <v>7077</v>
      </c>
      <c r="E3275" s="435"/>
    </row>
    <row r="3276" spans="4:5">
      <c r="D3276" s="434" t="s">
        <v>7078</v>
      </c>
      <c r="E3276" s="435" t="s">
        <v>7079</v>
      </c>
    </row>
    <row r="3277" spans="4:5">
      <c r="D3277" s="434" t="s">
        <v>7080</v>
      </c>
      <c r="E3277" s="435" t="s">
        <v>7079</v>
      </c>
    </row>
    <row r="3278" spans="4:5">
      <c r="D3278" s="437" t="s">
        <v>7081</v>
      </c>
      <c r="E3278" s="435"/>
    </row>
    <row r="3279" spans="4:5">
      <c r="D3279" s="437" t="s">
        <v>7082</v>
      </c>
      <c r="E3279" s="435"/>
    </row>
    <row r="3280" spans="4:5">
      <c r="D3280" s="434" t="s">
        <v>7083</v>
      </c>
      <c r="E3280" s="435" t="s">
        <v>7084</v>
      </c>
    </row>
    <row r="3281" spans="4:5">
      <c r="D3281" s="437" t="s">
        <v>7085</v>
      </c>
      <c r="E3281" s="435"/>
    </row>
    <row r="3282" spans="4:5">
      <c r="D3282" s="437" t="s">
        <v>7086</v>
      </c>
      <c r="E3282" s="435"/>
    </row>
    <row r="3283" spans="4:5">
      <c r="D3283" s="437" t="s">
        <v>7087</v>
      </c>
      <c r="E3283" s="435"/>
    </row>
    <row r="3284" spans="4:5">
      <c r="D3284" s="434" t="s">
        <v>7088</v>
      </c>
      <c r="E3284" s="435" t="s">
        <v>7089</v>
      </c>
    </row>
    <row r="3285" spans="4:5">
      <c r="D3285" s="437" t="s">
        <v>7090</v>
      </c>
      <c r="E3285" s="435"/>
    </row>
    <row r="3286" spans="4:5">
      <c r="D3286" s="437" t="s">
        <v>7091</v>
      </c>
      <c r="E3286" s="435"/>
    </row>
    <row r="3287" spans="4:5">
      <c r="D3287" s="437" t="s">
        <v>7092</v>
      </c>
      <c r="E3287" s="435"/>
    </row>
    <row r="3288" spans="4:5">
      <c r="D3288" s="434" t="s">
        <v>7093</v>
      </c>
      <c r="E3288" s="435" t="s">
        <v>7094</v>
      </c>
    </row>
    <row r="3289" spans="4:5">
      <c r="D3289" s="437" t="s">
        <v>7095</v>
      </c>
      <c r="E3289" s="435"/>
    </row>
    <row r="3290" spans="4:5">
      <c r="D3290" s="434" t="s">
        <v>7096</v>
      </c>
      <c r="E3290" s="435" t="s">
        <v>7097</v>
      </c>
    </row>
    <row r="3291" spans="4:5">
      <c r="D3291" s="434" t="s">
        <v>7098</v>
      </c>
      <c r="E3291" s="435" t="s">
        <v>7099</v>
      </c>
    </row>
    <row r="3292" spans="4:5">
      <c r="D3292" s="434" t="s">
        <v>7100</v>
      </c>
      <c r="E3292" s="435" t="s">
        <v>7099</v>
      </c>
    </row>
    <row r="3293" spans="4:5">
      <c r="D3293" s="437" t="s">
        <v>7101</v>
      </c>
      <c r="E3293" s="435"/>
    </row>
    <row r="3294" spans="4:5">
      <c r="D3294" s="434" t="s">
        <v>7102</v>
      </c>
      <c r="E3294" s="435" t="s">
        <v>7103</v>
      </c>
    </row>
    <row r="3295" spans="4:5">
      <c r="D3295" s="437" t="s">
        <v>7104</v>
      </c>
      <c r="E3295" s="435"/>
    </row>
    <row r="3296" spans="4:5">
      <c r="D3296" s="434" t="s">
        <v>7105</v>
      </c>
      <c r="E3296" s="435" t="s">
        <v>7106</v>
      </c>
    </row>
    <row r="3297" spans="4:5">
      <c r="D3297" s="434" t="s">
        <v>7107</v>
      </c>
      <c r="E3297" s="435" t="s">
        <v>7108</v>
      </c>
    </row>
    <row r="3298" spans="4:5">
      <c r="D3298" s="437" t="s">
        <v>7109</v>
      </c>
      <c r="E3298" s="435"/>
    </row>
    <row r="3299" spans="4:5">
      <c r="D3299" s="437" t="s">
        <v>7110</v>
      </c>
      <c r="E3299" s="435"/>
    </row>
    <row r="3300" spans="4:5">
      <c r="D3300" s="437" t="s">
        <v>7111</v>
      </c>
      <c r="E3300" s="435"/>
    </row>
    <row r="3301" spans="4:5">
      <c r="D3301" s="434" t="s">
        <v>7112</v>
      </c>
      <c r="E3301" s="435" t="s">
        <v>7113</v>
      </c>
    </row>
    <row r="3302" spans="4:5">
      <c r="D3302" s="437" t="s">
        <v>7114</v>
      </c>
      <c r="E3302" s="435"/>
    </row>
    <row r="3303" spans="4:5">
      <c r="D3303" s="437" t="s">
        <v>7115</v>
      </c>
      <c r="E3303" s="435"/>
    </row>
    <row r="3304" spans="4:5">
      <c r="D3304" s="434" t="s">
        <v>7116</v>
      </c>
      <c r="E3304" s="435" t="s">
        <v>7117</v>
      </c>
    </row>
    <row r="3305" spans="4:5">
      <c r="D3305" s="434" t="s">
        <v>7118</v>
      </c>
      <c r="E3305" s="435" t="s">
        <v>7117</v>
      </c>
    </row>
    <row r="3306" spans="4:5">
      <c r="D3306" s="437" t="s">
        <v>7119</v>
      </c>
      <c r="E3306" s="435"/>
    </row>
    <row r="3307" spans="4:5">
      <c r="D3307" s="434" t="s">
        <v>7120</v>
      </c>
      <c r="E3307" s="435" t="s">
        <v>7121</v>
      </c>
    </row>
    <row r="3308" spans="4:5">
      <c r="D3308" s="437" t="s">
        <v>7122</v>
      </c>
      <c r="E3308" s="435"/>
    </row>
    <row r="3309" spans="4:5">
      <c r="D3309" s="434" t="s">
        <v>7123</v>
      </c>
      <c r="E3309" s="435" t="s">
        <v>7124</v>
      </c>
    </row>
    <row r="3310" spans="4:5">
      <c r="D3310" s="437" t="s">
        <v>7125</v>
      </c>
      <c r="E3310" s="435"/>
    </row>
    <row r="3311" spans="4:5">
      <c r="D3311" s="437" t="s">
        <v>7126</v>
      </c>
      <c r="E3311" s="435"/>
    </row>
    <row r="3312" spans="4:5">
      <c r="D3312" s="434" t="s">
        <v>7127</v>
      </c>
      <c r="E3312" s="435" t="s">
        <v>7128</v>
      </c>
    </row>
    <row r="3313" spans="4:5">
      <c r="D3313" s="434" t="s">
        <v>7129</v>
      </c>
      <c r="E3313" s="435" t="s">
        <v>7128</v>
      </c>
    </row>
    <row r="3314" spans="4:5">
      <c r="D3314" s="434" t="s">
        <v>7130</v>
      </c>
      <c r="E3314" s="435" t="s">
        <v>7131</v>
      </c>
    </row>
    <row r="3315" spans="4:5">
      <c r="D3315" s="434" t="s">
        <v>7132</v>
      </c>
      <c r="E3315" s="435" t="s">
        <v>7133</v>
      </c>
    </row>
    <row r="3316" spans="4:5">
      <c r="D3316" s="437" t="s">
        <v>7134</v>
      </c>
      <c r="E3316" s="435"/>
    </row>
    <row r="3317" spans="4:5">
      <c r="D3317" s="437" t="s">
        <v>7135</v>
      </c>
      <c r="E3317" s="435"/>
    </row>
    <row r="3318" spans="4:5">
      <c r="D3318" s="434" t="s">
        <v>7136</v>
      </c>
      <c r="E3318" s="435" t="s">
        <v>7137</v>
      </c>
    </row>
    <row r="3319" spans="4:5">
      <c r="D3319" s="434" t="s">
        <v>7138</v>
      </c>
      <c r="E3319" s="435" t="s">
        <v>7137</v>
      </c>
    </row>
    <row r="3320" spans="4:5">
      <c r="D3320" s="437" t="s">
        <v>7139</v>
      </c>
      <c r="E3320" s="435"/>
    </row>
    <row r="3321" spans="4:5">
      <c r="D3321" s="437" t="s">
        <v>7140</v>
      </c>
      <c r="E3321" s="435"/>
    </row>
    <row r="3322" spans="4:5">
      <c r="D3322" s="434" t="s">
        <v>7141</v>
      </c>
      <c r="E3322" s="435" t="s">
        <v>7142</v>
      </c>
    </row>
    <row r="3323" spans="4:5">
      <c r="D3323" s="437" t="s">
        <v>7143</v>
      </c>
      <c r="E3323" s="435"/>
    </row>
    <row r="3324" spans="4:5">
      <c r="D3324" s="437" t="s">
        <v>7144</v>
      </c>
      <c r="E3324" s="435"/>
    </row>
    <row r="3325" spans="4:5">
      <c r="D3325" s="437" t="s">
        <v>7145</v>
      </c>
      <c r="E3325" s="435"/>
    </row>
    <row r="3326" spans="4:5">
      <c r="D3326" s="437" t="s">
        <v>7146</v>
      </c>
      <c r="E3326" s="435"/>
    </row>
    <row r="3327" spans="4:5">
      <c r="D3327" s="434" t="s">
        <v>7147</v>
      </c>
      <c r="E3327" s="435" t="s">
        <v>7148</v>
      </c>
    </row>
    <row r="3328" spans="4:5">
      <c r="D3328" s="437" t="s">
        <v>7149</v>
      </c>
      <c r="E3328" s="435"/>
    </row>
    <row r="3329" spans="4:5">
      <c r="D3329" s="437" t="s">
        <v>7150</v>
      </c>
      <c r="E3329" s="435"/>
    </row>
    <row r="3330" spans="4:5">
      <c r="D3330" s="434" t="s">
        <v>7151</v>
      </c>
      <c r="E3330" s="435" t="s">
        <v>7152</v>
      </c>
    </row>
    <row r="3331" spans="4:5">
      <c r="D3331" s="437" t="s">
        <v>7153</v>
      </c>
      <c r="E3331" s="435"/>
    </row>
    <row r="3332" spans="4:5">
      <c r="D3332" s="437" t="s">
        <v>7154</v>
      </c>
      <c r="E3332" s="435"/>
    </row>
    <row r="3333" spans="4:5">
      <c r="D3333" s="434" t="s">
        <v>7155</v>
      </c>
      <c r="E3333" s="435" t="s">
        <v>7156</v>
      </c>
    </row>
    <row r="3334" spans="4:5">
      <c r="D3334" s="437" t="s">
        <v>7157</v>
      </c>
      <c r="E3334" s="435"/>
    </row>
    <row r="3335" spans="4:5">
      <c r="D3335" s="434" t="s">
        <v>7158</v>
      </c>
      <c r="E3335" s="435" t="s">
        <v>7159</v>
      </c>
    </row>
    <row r="3336" spans="4:5">
      <c r="D3336" s="434" t="s">
        <v>7160</v>
      </c>
      <c r="E3336" s="435" t="s">
        <v>7161</v>
      </c>
    </row>
    <row r="3337" spans="4:5">
      <c r="D3337" s="437" t="s">
        <v>7162</v>
      </c>
      <c r="E3337" s="435"/>
    </row>
    <row r="3338" spans="4:5">
      <c r="D3338" s="434" t="s">
        <v>7163</v>
      </c>
      <c r="E3338" s="435" t="s">
        <v>7164</v>
      </c>
    </row>
    <row r="3339" spans="4:5">
      <c r="D3339" s="434" t="s">
        <v>7165</v>
      </c>
      <c r="E3339" s="435" t="s">
        <v>7164</v>
      </c>
    </row>
    <row r="3340" spans="4:5">
      <c r="D3340" s="437" t="s">
        <v>7166</v>
      </c>
      <c r="E3340" s="435"/>
    </row>
    <row r="3341" spans="4:5">
      <c r="D3341" s="434" t="s">
        <v>7167</v>
      </c>
      <c r="E3341" s="435" t="s">
        <v>7168</v>
      </c>
    </row>
    <row r="3342" spans="4:5">
      <c r="D3342" s="434" t="s">
        <v>7169</v>
      </c>
      <c r="E3342" s="435" t="s">
        <v>7170</v>
      </c>
    </row>
    <row r="3343" spans="4:5">
      <c r="D3343" s="434" t="s">
        <v>7171</v>
      </c>
      <c r="E3343" s="435" t="s">
        <v>7170</v>
      </c>
    </row>
    <row r="3344" spans="4:5">
      <c r="D3344" s="437" t="s">
        <v>7172</v>
      </c>
      <c r="E3344" s="435"/>
    </row>
    <row r="3345" spans="4:5">
      <c r="D3345" s="434" t="s">
        <v>7173</v>
      </c>
      <c r="E3345" s="435" t="s">
        <v>7170</v>
      </c>
    </row>
    <row r="3346" spans="4:5">
      <c r="D3346" s="437" t="s">
        <v>7174</v>
      </c>
      <c r="E3346" s="435"/>
    </row>
    <row r="3347" spans="4:5">
      <c r="D3347" s="437" t="s">
        <v>7175</v>
      </c>
      <c r="E3347" s="435"/>
    </row>
    <row r="3348" spans="4:5">
      <c r="D3348" s="437" t="s">
        <v>7176</v>
      </c>
      <c r="E3348" s="435"/>
    </row>
    <row r="3349" spans="4:5">
      <c r="D3349" s="434" t="s">
        <v>7177</v>
      </c>
      <c r="E3349" s="435" t="s">
        <v>7178</v>
      </c>
    </row>
    <row r="3350" spans="4:5">
      <c r="D3350" s="434" t="s">
        <v>7179</v>
      </c>
      <c r="E3350" s="435" t="s">
        <v>7178</v>
      </c>
    </row>
    <row r="3351" spans="4:5">
      <c r="D3351" s="434" t="s">
        <v>7180</v>
      </c>
      <c r="E3351" s="435" t="s">
        <v>7181</v>
      </c>
    </row>
    <row r="3352" spans="4:5">
      <c r="D3352" s="437" t="s">
        <v>7182</v>
      </c>
      <c r="E3352" s="435"/>
    </row>
    <row r="3353" spans="4:5">
      <c r="D3353" s="434" t="s">
        <v>7183</v>
      </c>
      <c r="E3353" s="435" t="s">
        <v>7184</v>
      </c>
    </row>
    <row r="3354" spans="4:5">
      <c r="D3354" s="437" t="s">
        <v>7185</v>
      </c>
      <c r="E3354" s="435"/>
    </row>
    <row r="3355" spans="4:5">
      <c r="D3355" s="437" t="s">
        <v>7186</v>
      </c>
      <c r="E3355" s="435"/>
    </row>
    <row r="3356" spans="4:5">
      <c r="D3356" s="437" t="s">
        <v>7187</v>
      </c>
      <c r="E3356" s="435"/>
    </row>
    <row r="3357" spans="4:5">
      <c r="D3357" s="434" t="s">
        <v>7188</v>
      </c>
      <c r="E3357" s="435" t="s">
        <v>7189</v>
      </c>
    </row>
    <row r="3358" spans="4:5">
      <c r="D3358" s="437" t="s">
        <v>7190</v>
      </c>
      <c r="E3358" s="435"/>
    </row>
    <row r="3359" spans="4:5">
      <c r="D3359" s="437" t="s">
        <v>7191</v>
      </c>
      <c r="E3359" s="435"/>
    </row>
    <row r="3360" spans="4:5">
      <c r="D3360" s="434" t="s">
        <v>7192</v>
      </c>
      <c r="E3360" s="435" t="s">
        <v>7193</v>
      </c>
    </row>
    <row r="3361" spans="4:5">
      <c r="D3361" s="434" t="s">
        <v>7194</v>
      </c>
      <c r="E3361" s="435" t="s">
        <v>7193</v>
      </c>
    </row>
    <row r="3362" spans="4:5">
      <c r="D3362" s="437" t="s">
        <v>7195</v>
      </c>
      <c r="E3362" s="435"/>
    </row>
    <row r="3363" spans="4:5">
      <c r="D3363" s="437" t="s">
        <v>7196</v>
      </c>
      <c r="E3363" s="435"/>
    </row>
    <row r="3364" spans="4:5">
      <c r="D3364" s="437" t="s">
        <v>7197</v>
      </c>
      <c r="E3364" s="435"/>
    </row>
    <row r="3365" spans="4:5">
      <c r="D3365" s="437" t="s">
        <v>7198</v>
      </c>
      <c r="E3365" s="435"/>
    </row>
    <row r="3366" spans="4:5">
      <c r="D3366" s="437" t="s">
        <v>7199</v>
      </c>
      <c r="E3366" s="435"/>
    </row>
    <row r="3367" spans="4:5">
      <c r="D3367" s="437" t="s">
        <v>7200</v>
      </c>
      <c r="E3367" s="435"/>
    </row>
    <row r="3368" spans="4:5">
      <c r="D3368" s="437" t="s">
        <v>7201</v>
      </c>
      <c r="E3368" s="435"/>
    </row>
    <row r="3369" spans="4:5">
      <c r="D3369" s="434" t="s">
        <v>7202</v>
      </c>
      <c r="E3369" s="435" t="s">
        <v>7203</v>
      </c>
    </row>
    <row r="3370" spans="4:5">
      <c r="D3370" s="437" t="s">
        <v>7204</v>
      </c>
      <c r="E3370" s="435"/>
    </row>
    <row r="3371" spans="4:5">
      <c r="D3371" s="437" t="s">
        <v>7205</v>
      </c>
      <c r="E3371" s="435"/>
    </row>
    <row r="3372" spans="4:5">
      <c r="D3372" s="437" t="s">
        <v>7206</v>
      </c>
      <c r="E3372" s="435"/>
    </row>
    <row r="3373" spans="4:5">
      <c r="D3373" s="437" t="s">
        <v>7207</v>
      </c>
      <c r="E3373" s="435"/>
    </row>
    <row r="3374" spans="4:5">
      <c r="D3374" s="434" t="s">
        <v>7208</v>
      </c>
      <c r="E3374" s="435" t="s">
        <v>7209</v>
      </c>
    </row>
    <row r="3375" spans="4:5">
      <c r="D3375" s="434" t="s">
        <v>7210</v>
      </c>
      <c r="E3375" s="435" t="s">
        <v>7209</v>
      </c>
    </row>
    <row r="3376" spans="4:5">
      <c r="D3376" s="437" t="s">
        <v>7211</v>
      </c>
      <c r="E3376" s="435"/>
    </row>
    <row r="3377" spans="4:5">
      <c r="D3377" s="437" t="s">
        <v>7212</v>
      </c>
      <c r="E3377" s="435"/>
    </row>
    <row r="3378" spans="4:5">
      <c r="D3378" s="437" t="s">
        <v>7213</v>
      </c>
      <c r="E3378" s="435"/>
    </row>
    <row r="3379" spans="4:5">
      <c r="D3379" s="434" t="s">
        <v>7214</v>
      </c>
      <c r="E3379" s="435" t="s">
        <v>7209</v>
      </c>
    </row>
    <row r="3380" spans="4:5">
      <c r="D3380" s="437" t="s">
        <v>7215</v>
      </c>
      <c r="E3380" s="435"/>
    </row>
    <row r="3381" spans="4:5">
      <c r="D3381" s="437" t="s">
        <v>7216</v>
      </c>
      <c r="E3381" s="435"/>
    </row>
    <row r="3382" spans="4:5">
      <c r="D3382" s="437" t="s">
        <v>7217</v>
      </c>
      <c r="E3382" s="435"/>
    </row>
    <row r="3383" spans="4:5">
      <c r="D3383" s="434" t="s">
        <v>7218</v>
      </c>
      <c r="E3383" s="435" t="s">
        <v>7219</v>
      </c>
    </row>
    <row r="3384" spans="4:5">
      <c r="D3384" s="434" t="s">
        <v>7220</v>
      </c>
      <c r="E3384" s="435" t="s">
        <v>7219</v>
      </c>
    </row>
    <row r="3385" spans="4:5">
      <c r="D3385" s="437" t="s">
        <v>7190</v>
      </c>
      <c r="E3385" s="435"/>
    </row>
    <row r="3386" spans="4:5">
      <c r="D3386" s="434" t="s">
        <v>7221</v>
      </c>
      <c r="E3386" s="435" t="s">
        <v>7219</v>
      </c>
    </row>
    <row r="3387" spans="4:5">
      <c r="D3387" s="437" t="s">
        <v>7222</v>
      </c>
      <c r="E3387" s="435"/>
    </row>
    <row r="3388" spans="4:5">
      <c r="D3388" s="437" t="s">
        <v>7223</v>
      </c>
      <c r="E3388" s="435"/>
    </row>
    <row r="3389" spans="4:5">
      <c r="D3389" s="434" t="s">
        <v>7224</v>
      </c>
      <c r="E3389" s="435" t="s">
        <v>7225</v>
      </c>
    </row>
    <row r="3390" spans="4:5">
      <c r="D3390" s="434" t="s">
        <v>7226</v>
      </c>
      <c r="E3390" s="435" t="s">
        <v>7227</v>
      </c>
    </row>
    <row r="3391" spans="4:5">
      <c r="D3391" s="434" t="s">
        <v>7228</v>
      </c>
      <c r="E3391" s="435" t="s">
        <v>7227</v>
      </c>
    </row>
    <row r="3392" spans="4:5">
      <c r="D3392" s="437" t="s">
        <v>7229</v>
      </c>
      <c r="E3392" s="435"/>
    </row>
    <row r="3393" spans="4:5">
      <c r="D3393" s="437" t="s">
        <v>7204</v>
      </c>
      <c r="E3393" s="435"/>
    </row>
    <row r="3394" spans="4:5">
      <c r="D3394" s="437" t="s">
        <v>7230</v>
      </c>
      <c r="E3394" s="435"/>
    </row>
    <row r="3395" spans="4:5">
      <c r="D3395" s="434" t="s">
        <v>7231</v>
      </c>
      <c r="E3395" s="435" t="s">
        <v>7232</v>
      </c>
    </row>
    <row r="3396" spans="4:5">
      <c r="D3396" s="437" t="s">
        <v>7233</v>
      </c>
      <c r="E3396" s="435"/>
    </row>
    <row r="3397" spans="4:5">
      <c r="D3397" s="437" t="s">
        <v>7234</v>
      </c>
      <c r="E3397" s="435"/>
    </row>
    <row r="3398" spans="4:5">
      <c r="D3398" s="437" t="s">
        <v>7235</v>
      </c>
      <c r="E3398" s="435"/>
    </row>
    <row r="3399" spans="4:5">
      <c r="D3399" s="434" t="s">
        <v>7236</v>
      </c>
      <c r="E3399" s="435" t="s">
        <v>7237</v>
      </c>
    </row>
    <row r="3400" spans="4:5">
      <c r="D3400" s="434" t="s">
        <v>7238</v>
      </c>
      <c r="E3400" s="435" t="s">
        <v>7237</v>
      </c>
    </row>
    <row r="3401" spans="4:5">
      <c r="D3401" s="437" t="s">
        <v>7239</v>
      </c>
      <c r="E3401" s="435"/>
    </row>
    <row r="3402" spans="4:5">
      <c r="D3402" s="437" t="s">
        <v>7240</v>
      </c>
      <c r="E3402" s="435"/>
    </row>
    <row r="3403" spans="4:5">
      <c r="D3403" s="437" t="s">
        <v>7241</v>
      </c>
      <c r="E3403" s="435"/>
    </row>
    <row r="3404" spans="4:5">
      <c r="D3404" s="437" t="s">
        <v>7242</v>
      </c>
      <c r="E3404" s="435"/>
    </row>
    <row r="3405" spans="4:5">
      <c r="D3405" s="434" t="s">
        <v>7243</v>
      </c>
      <c r="E3405" s="435" t="s">
        <v>7237</v>
      </c>
    </row>
    <row r="3406" spans="4:5">
      <c r="D3406" s="437" t="s">
        <v>7244</v>
      </c>
      <c r="E3406" s="435"/>
    </row>
    <row r="3407" spans="4:5">
      <c r="D3407" s="437" t="s">
        <v>7245</v>
      </c>
      <c r="E3407" s="435"/>
    </row>
    <row r="3408" spans="4:5">
      <c r="D3408" s="437" t="s">
        <v>7246</v>
      </c>
      <c r="E3408" s="435"/>
    </row>
    <row r="3409" spans="4:5">
      <c r="D3409" s="437" t="s">
        <v>7247</v>
      </c>
      <c r="E3409" s="435"/>
    </row>
    <row r="3410" spans="4:5">
      <c r="D3410" s="437" t="s">
        <v>7248</v>
      </c>
      <c r="E3410" s="435"/>
    </row>
    <row r="3411" spans="4:5">
      <c r="D3411" s="437" t="s">
        <v>7249</v>
      </c>
      <c r="E3411" s="435"/>
    </row>
    <row r="3412" spans="4:5">
      <c r="D3412" s="437" t="s">
        <v>7250</v>
      </c>
      <c r="E3412" s="435"/>
    </row>
    <row r="3413" spans="4:5">
      <c r="D3413" s="437" t="s">
        <v>7251</v>
      </c>
      <c r="E3413" s="435"/>
    </row>
    <row r="3414" spans="4:5">
      <c r="D3414" s="437" t="s">
        <v>7252</v>
      </c>
      <c r="E3414" s="435"/>
    </row>
    <row r="3415" spans="4:5">
      <c r="D3415" s="437" t="s">
        <v>7253</v>
      </c>
      <c r="E3415" s="435"/>
    </row>
    <row r="3416" spans="4:5">
      <c r="D3416" s="434" t="s">
        <v>7254</v>
      </c>
      <c r="E3416" s="435" t="s">
        <v>7255</v>
      </c>
    </row>
    <row r="3417" spans="4:5">
      <c r="D3417" s="434" t="s">
        <v>7256</v>
      </c>
      <c r="E3417" s="435" t="s">
        <v>7255</v>
      </c>
    </row>
    <row r="3418" spans="4:5">
      <c r="D3418" s="437" t="s">
        <v>7257</v>
      </c>
      <c r="E3418" s="435"/>
    </row>
    <row r="3419" spans="4:5">
      <c r="D3419" s="434" t="s">
        <v>7258</v>
      </c>
      <c r="E3419" s="435" t="s">
        <v>7259</v>
      </c>
    </row>
    <row r="3420" spans="4:5">
      <c r="D3420" s="437" t="s">
        <v>7260</v>
      </c>
      <c r="E3420" s="435"/>
    </row>
    <row r="3421" spans="4:5">
      <c r="D3421" s="437" t="s">
        <v>7261</v>
      </c>
      <c r="E3421" s="435"/>
    </row>
    <row r="3422" spans="4:5">
      <c r="D3422" s="434" t="s">
        <v>7262</v>
      </c>
      <c r="E3422" s="435" t="s">
        <v>7263</v>
      </c>
    </row>
    <row r="3423" spans="4:5">
      <c r="D3423" s="434" t="s">
        <v>7264</v>
      </c>
      <c r="E3423" s="435" t="s">
        <v>7265</v>
      </c>
    </row>
    <row r="3424" spans="4:5">
      <c r="D3424" s="434" t="s">
        <v>7266</v>
      </c>
      <c r="E3424" s="435" t="s">
        <v>7263</v>
      </c>
    </row>
    <row r="3425" spans="4:5">
      <c r="D3425" s="437" t="s">
        <v>7267</v>
      </c>
      <c r="E3425" s="435"/>
    </row>
    <row r="3426" spans="4:5">
      <c r="D3426" s="437" t="s">
        <v>7268</v>
      </c>
      <c r="E3426" s="435"/>
    </row>
    <row r="3427" spans="4:5">
      <c r="D3427" s="434" t="s">
        <v>7269</v>
      </c>
      <c r="E3427" s="435" t="s">
        <v>7270</v>
      </c>
    </row>
    <row r="3428" spans="4:5">
      <c r="D3428" s="437" t="s">
        <v>7271</v>
      </c>
      <c r="E3428" s="435"/>
    </row>
    <row r="3429" spans="4:5">
      <c r="D3429" s="437" t="s">
        <v>7272</v>
      </c>
      <c r="E3429" s="435"/>
    </row>
    <row r="3430" spans="4:5">
      <c r="D3430" s="434" t="s">
        <v>7273</v>
      </c>
      <c r="E3430" s="435" t="s">
        <v>7274</v>
      </c>
    </row>
    <row r="3431" spans="4:5">
      <c r="D3431" s="434" t="s">
        <v>7275</v>
      </c>
      <c r="E3431" s="435" t="s">
        <v>7276</v>
      </c>
    </row>
    <row r="3432" spans="4:5">
      <c r="D3432" s="437" t="s">
        <v>7277</v>
      </c>
      <c r="E3432" s="435"/>
    </row>
    <row r="3433" spans="4:5">
      <c r="D3433" s="434" t="s">
        <v>716</v>
      </c>
      <c r="E3433" s="435" t="s">
        <v>7278</v>
      </c>
    </row>
    <row r="3434" spans="4:5">
      <c r="D3434" s="437" t="s">
        <v>7279</v>
      </c>
      <c r="E3434" s="435"/>
    </row>
    <row r="3435" spans="4:5">
      <c r="D3435" s="437" t="s">
        <v>7280</v>
      </c>
      <c r="E3435" s="435"/>
    </row>
    <row r="3436" spans="4:5">
      <c r="D3436" s="437" t="s">
        <v>7281</v>
      </c>
      <c r="E3436" s="435"/>
    </row>
    <row r="3437" spans="4:5">
      <c r="D3437" s="437" t="s">
        <v>7282</v>
      </c>
      <c r="E3437" s="435"/>
    </row>
    <row r="3438" spans="4:5">
      <c r="D3438" s="437" t="s">
        <v>7283</v>
      </c>
      <c r="E3438" s="435"/>
    </row>
    <row r="3439" spans="4:5">
      <c r="D3439" s="437" t="s">
        <v>7284</v>
      </c>
      <c r="E3439" s="435"/>
    </row>
    <row r="3440" spans="4:5">
      <c r="D3440" s="437" t="s">
        <v>7285</v>
      </c>
      <c r="E3440" s="435"/>
    </row>
    <row r="3441" spans="4:5">
      <c r="D3441" s="437" t="s">
        <v>7286</v>
      </c>
      <c r="E3441" s="435"/>
    </row>
    <row r="3442" spans="4:5">
      <c r="D3442" s="437" t="s">
        <v>7287</v>
      </c>
      <c r="E3442" s="435"/>
    </row>
    <row r="3443" spans="4:5">
      <c r="D3443" s="437" t="s">
        <v>7288</v>
      </c>
      <c r="E3443" s="435"/>
    </row>
    <row r="3444" spans="4:5">
      <c r="D3444" s="437" t="s">
        <v>7289</v>
      </c>
      <c r="E3444" s="435"/>
    </row>
    <row r="3445" spans="4:5">
      <c r="D3445" s="437" t="s">
        <v>7290</v>
      </c>
      <c r="E3445" s="435"/>
    </row>
    <row r="3446" spans="4:5">
      <c r="D3446" s="434" t="s">
        <v>7291</v>
      </c>
      <c r="E3446" s="435" t="s">
        <v>7292</v>
      </c>
    </row>
    <row r="3447" spans="4:5">
      <c r="D3447" s="434" t="s">
        <v>7293</v>
      </c>
      <c r="E3447" s="435" t="s">
        <v>7292</v>
      </c>
    </row>
    <row r="3448" spans="4:5">
      <c r="D3448" s="434" t="s">
        <v>7294</v>
      </c>
      <c r="E3448" s="435" t="s">
        <v>7295</v>
      </c>
    </row>
    <row r="3449" spans="4:5">
      <c r="D3449" s="437" t="s">
        <v>7296</v>
      </c>
      <c r="E3449" s="435"/>
    </row>
    <row r="3450" spans="4:5">
      <c r="D3450" s="434" t="s">
        <v>7297</v>
      </c>
      <c r="E3450" s="435" t="s">
        <v>7298</v>
      </c>
    </row>
    <row r="3451" spans="4:5">
      <c r="D3451" s="437" t="s">
        <v>7299</v>
      </c>
      <c r="E3451" s="435"/>
    </row>
    <row r="3452" spans="4:5">
      <c r="D3452" s="437" t="s">
        <v>7300</v>
      </c>
      <c r="E3452" s="435"/>
    </row>
    <row r="3453" spans="4:5">
      <c r="D3453" s="434" t="s">
        <v>7301</v>
      </c>
      <c r="E3453" s="435" t="s">
        <v>7302</v>
      </c>
    </row>
    <row r="3454" spans="4:5">
      <c r="D3454" s="437" t="s">
        <v>7303</v>
      </c>
      <c r="E3454" s="435"/>
    </row>
    <row r="3455" spans="4:5">
      <c r="D3455" s="437" t="s">
        <v>7304</v>
      </c>
      <c r="E3455" s="435"/>
    </row>
    <row r="3456" spans="4:5">
      <c r="D3456" s="437" t="s">
        <v>7305</v>
      </c>
      <c r="E3456" s="435"/>
    </row>
    <row r="3457" spans="4:5">
      <c r="D3457" s="437" t="s">
        <v>7306</v>
      </c>
      <c r="E3457" s="435"/>
    </row>
    <row r="3458" spans="4:5">
      <c r="D3458" s="434" t="s">
        <v>7307</v>
      </c>
      <c r="E3458" s="435" t="s">
        <v>7308</v>
      </c>
    </row>
    <row r="3459" spans="4:5">
      <c r="D3459" s="434" t="s">
        <v>7309</v>
      </c>
      <c r="E3459" s="435" t="s">
        <v>7308</v>
      </c>
    </row>
    <row r="3460" spans="4:5">
      <c r="D3460" s="437" t="s">
        <v>7310</v>
      </c>
      <c r="E3460" s="435"/>
    </row>
    <row r="3461" spans="4:5">
      <c r="D3461" s="437" t="s">
        <v>7311</v>
      </c>
      <c r="E3461" s="435"/>
    </row>
    <row r="3462" spans="4:5">
      <c r="D3462" s="437" t="s">
        <v>7312</v>
      </c>
      <c r="E3462" s="435"/>
    </row>
    <row r="3463" spans="4:5">
      <c r="D3463" s="434" t="s">
        <v>7313</v>
      </c>
      <c r="E3463" s="435" t="s">
        <v>7314</v>
      </c>
    </row>
    <row r="3464" spans="4:5">
      <c r="D3464" s="434" t="s">
        <v>7315</v>
      </c>
      <c r="E3464" s="435" t="s">
        <v>7314</v>
      </c>
    </row>
    <row r="3465" spans="4:5">
      <c r="D3465" s="437" t="s">
        <v>7316</v>
      </c>
      <c r="E3465" s="435"/>
    </row>
    <row r="3466" spans="4:5">
      <c r="D3466" s="437" t="s">
        <v>7317</v>
      </c>
      <c r="E3466" s="435"/>
    </row>
    <row r="3467" spans="4:5">
      <c r="D3467" s="434" t="s">
        <v>7318</v>
      </c>
      <c r="E3467" s="435" t="s">
        <v>7319</v>
      </c>
    </row>
    <row r="3468" spans="4:5">
      <c r="D3468" s="437" t="s">
        <v>7320</v>
      </c>
      <c r="E3468" s="435"/>
    </row>
    <row r="3469" spans="4:5">
      <c r="D3469" s="437" t="s">
        <v>7321</v>
      </c>
      <c r="E3469" s="435"/>
    </row>
    <row r="3470" spans="4:5">
      <c r="D3470" s="437" t="s">
        <v>7322</v>
      </c>
      <c r="E3470" s="435"/>
    </row>
    <row r="3471" spans="4:5">
      <c r="D3471" s="434" t="s">
        <v>7323</v>
      </c>
      <c r="E3471" s="435" t="s">
        <v>7324</v>
      </c>
    </row>
    <row r="3472" spans="4:5">
      <c r="D3472" s="437" t="s">
        <v>7325</v>
      </c>
      <c r="E3472" s="435"/>
    </row>
    <row r="3473" spans="4:5">
      <c r="D3473" s="437" t="s">
        <v>7326</v>
      </c>
      <c r="E3473" s="435"/>
    </row>
    <row r="3474" spans="4:5">
      <c r="D3474" s="437" t="s">
        <v>7327</v>
      </c>
      <c r="E3474" s="435"/>
    </row>
    <row r="3475" spans="4:5">
      <c r="D3475" s="437" t="s">
        <v>7328</v>
      </c>
      <c r="E3475" s="435"/>
    </row>
    <row r="3476" spans="4:5">
      <c r="D3476" s="434" t="s">
        <v>7329</v>
      </c>
      <c r="E3476" s="435" t="s">
        <v>7330</v>
      </c>
    </row>
    <row r="3477" spans="4:5">
      <c r="D3477" s="437" t="s">
        <v>7331</v>
      </c>
      <c r="E3477" s="435"/>
    </row>
    <row r="3478" spans="4:5">
      <c r="D3478" s="437" t="s">
        <v>7332</v>
      </c>
      <c r="E3478" s="435"/>
    </row>
    <row r="3479" spans="4:5">
      <c r="D3479" s="434" t="s">
        <v>7333</v>
      </c>
      <c r="E3479" s="435" t="s">
        <v>7334</v>
      </c>
    </row>
    <row r="3480" spans="4:5">
      <c r="D3480" s="437" t="s">
        <v>7335</v>
      </c>
      <c r="E3480" s="435"/>
    </row>
    <row r="3481" spans="4:5">
      <c r="D3481" s="437" t="s">
        <v>7336</v>
      </c>
      <c r="E3481" s="435"/>
    </row>
    <row r="3482" spans="4:5">
      <c r="D3482" s="434" t="s">
        <v>7337</v>
      </c>
      <c r="E3482" s="435" t="s">
        <v>7338</v>
      </c>
    </row>
    <row r="3483" spans="4:5">
      <c r="D3483" s="437" t="s">
        <v>7339</v>
      </c>
      <c r="E3483" s="435"/>
    </row>
    <row r="3484" spans="4:5">
      <c r="D3484" s="434" t="s">
        <v>7340</v>
      </c>
      <c r="E3484" s="435" t="s">
        <v>7341</v>
      </c>
    </row>
    <row r="3485" spans="4:5">
      <c r="D3485" s="437" t="s">
        <v>7342</v>
      </c>
      <c r="E3485" s="435"/>
    </row>
    <row r="3486" spans="4:5">
      <c r="D3486" s="437" t="s">
        <v>7343</v>
      </c>
      <c r="E3486" s="435"/>
    </row>
    <row r="3487" spans="4:5">
      <c r="D3487" s="434" t="s">
        <v>7344</v>
      </c>
      <c r="E3487" s="435" t="s">
        <v>7345</v>
      </c>
    </row>
    <row r="3488" spans="4:5">
      <c r="D3488" s="434" t="s">
        <v>7346</v>
      </c>
      <c r="E3488" s="435" t="s">
        <v>7347</v>
      </c>
    </row>
    <row r="3489" spans="4:5">
      <c r="D3489" s="434" t="s">
        <v>7348</v>
      </c>
      <c r="E3489" s="435" t="s">
        <v>7347</v>
      </c>
    </row>
    <row r="3490" spans="4:5">
      <c r="D3490" s="437" t="s">
        <v>7349</v>
      </c>
      <c r="E3490" s="435"/>
    </row>
    <row r="3491" spans="4:5">
      <c r="D3491" s="434" t="s">
        <v>7350</v>
      </c>
      <c r="E3491" s="435" t="s">
        <v>7351</v>
      </c>
    </row>
    <row r="3492" spans="4:5">
      <c r="D3492" s="437" t="s">
        <v>7352</v>
      </c>
      <c r="E3492" s="435"/>
    </row>
    <row r="3493" spans="4:5">
      <c r="D3493" s="437" t="s">
        <v>7353</v>
      </c>
      <c r="E3493" s="435"/>
    </row>
    <row r="3494" spans="4:5">
      <c r="D3494" s="434" t="s">
        <v>7354</v>
      </c>
      <c r="E3494" s="435" t="s">
        <v>7355</v>
      </c>
    </row>
    <row r="3495" spans="4:5">
      <c r="D3495" s="437" t="s">
        <v>7356</v>
      </c>
      <c r="E3495" s="435"/>
    </row>
    <row r="3496" spans="4:5">
      <c r="D3496" s="434" t="s">
        <v>7357</v>
      </c>
      <c r="E3496" s="435" t="s">
        <v>7358</v>
      </c>
    </row>
    <row r="3497" spans="4:5">
      <c r="D3497" s="434" t="s">
        <v>7359</v>
      </c>
      <c r="E3497" s="435" t="s">
        <v>7358</v>
      </c>
    </row>
    <row r="3498" spans="4:5">
      <c r="D3498" s="434" t="s">
        <v>7360</v>
      </c>
      <c r="E3498" s="435" t="s">
        <v>7361</v>
      </c>
    </row>
    <row r="3499" spans="4:5">
      <c r="D3499" s="434" t="s">
        <v>7362</v>
      </c>
      <c r="E3499" s="435" t="s">
        <v>7361</v>
      </c>
    </row>
    <row r="3500" spans="4:5">
      <c r="D3500" s="434" t="s">
        <v>7363</v>
      </c>
      <c r="E3500" s="435" t="s">
        <v>7364</v>
      </c>
    </row>
    <row r="3501" spans="4:5">
      <c r="D3501" s="437" t="s">
        <v>7365</v>
      </c>
      <c r="E3501" s="435"/>
    </row>
    <row r="3502" spans="4:5">
      <c r="D3502" s="434" t="s">
        <v>7366</v>
      </c>
      <c r="E3502" s="435" t="s">
        <v>7367</v>
      </c>
    </row>
    <row r="3503" spans="4:5">
      <c r="D3503" s="437" t="s">
        <v>7368</v>
      </c>
      <c r="E3503" s="435"/>
    </row>
    <row r="3504" spans="4:5">
      <c r="D3504" s="437" t="s">
        <v>7369</v>
      </c>
      <c r="E3504" s="435"/>
    </row>
    <row r="3505" spans="4:5">
      <c r="D3505" s="437" t="s">
        <v>7370</v>
      </c>
      <c r="E3505" s="435"/>
    </row>
    <row r="3506" spans="4:5">
      <c r="D3506" s="434" t="s">
        <v>7371</v>
      </c>
      <c r="E3506" s="435" t="s">
        <v>7372</v>
      </c>
    </row>
    <row r="3507" spans="4:5">
      <c r="D3507" s="437" t="s">
        <v>7373</v>
      </c>
      <c r="E3507" s="435"/>
    </row>
    <row r="3508" spans="4:5">
      <c r="D3508" s="434" t="s">
        <v>7374</v>
      </c>
      <c r="E3508" s="435" t="s">
        <v>7375</v>
      </c>
    </row>
    <row r="3509" spans="4:5">
      <c r="D3509" s="437" t="s">
        <v>7376</v>
      </c>
      <c r="E3509" s="435"/>
    </row>
    <row r="3510" spans="4:5">
      <c r="D3510" s="434" t="s">
        <v>7377</v>
      </c>
      <c r="E3510" s="435" t="s">
        <v>7378</v>
      </c>
    </row>
    <row r="3511" spans="4:5">
      <c r="D3511" s="434" t="s">
        <v>7379</v>
      </c>
      <c r="E3511" s="435" t="s">
        <v>7378</v>
      </c>
    </row>
    <row r="3512" spans="4:5">
      <c r="D3512" s="437" t="s">
        <v>7380</v>
      </c>
      <c r="E3512" s="435"/>
    </row>
    <row r="3513" spans="4:5">
      <c r="D3513" s="434" t="s">
        <v>7381</v>
      </c>
      <c r="E3513" s="435" t="s">
        <v>7382</v>
      </c>
    </row>
    <row r="3514" spans="4:5">
      <c r="D3514" s="434" t="s">
        <v>7383</v>
      </c>
      <c r="E3514" s="435" t="s">
        <v>7382</v>
      </c>
    </row>
    <row r="3515" spans="4:5">
      <c r="D3515" s="437" t="s">
        <v>7384</v>
      </c>
      <c r="E3515" s="435"/>
    </row>
    <row r="3516" spans="4:5">
      <c r="D3516" s="437" t="s">
        <v>7385</v>
      </c>
      <c r="E3516" s="435"/>
    </row>
    <row r="3517" spans="4:5">
      <c r="D3517" s="437" t="s">
        <v>7386</v>
      </c>
      <c r="E3517" s="435"/>
    </row>
    <row r="3518" spans="4:5">
      <c r="D3518" s="434" t="s">
        <v>7387</v>
      </c>
      <c r="E3518" s="435" t="s">
        <v>7388</v>
      </c>
    </row>
    <row r="3519" spans="4:5">
      <c r="D3519" s="437" t="s">
        <v>7389</v>
      </c>
      <c r="E3519" s="435"/>
    </row>
    <row r="3520" spans="4:5">
      <c r="D3520" s="434" t="s">
        <v>7390</v>
      </c>
      <c r="E3520" s="435" t="s">
        <v>7391</v>
      </c>
    </row>
    <row r="3521" spans="4:5">
      <c r="D3521" s="437" t="s">
        <v>7392</v>
      </c>
      <c r="E3521" s="435"/>
    </row>
    <row r="3522" spans="4:5">
      <c r="D3522" s="437" t="s">
        <v>7393</v>
      </c>
      <c r="E3522" s="435"/>
    </row>
    <row r="3523" spans="4:5">
      <c r="D3523" s="434" t="s">
        <v>7394</v>
      </c>
      <c r="E3523" s="435" t="s">
        <v>7395</v>
      </c>
    </row>
    <row r="3524" spans="4:5">
      <c r="D3524" s="437" t="s">
        <v>7396</v>
      </c>
      <c r="E3524" s="435"/>
    </row>
    <row r="3525" spans="4:5">
      <c r="D3525" s="434" t="s">
        <v>7397</v>
      </c>
      <c r="E3525" s="435" t="s">
        <v>7398</v>
      </c>
    </row>
    <row r="3526" spans="4:5">
      <c r="D3526" s="434" t="s">
        <v>7399</v>
      </c>
      <c r="E3526" s="435" t="s">
        <v>7400</v>
      </c>
    </row>
    <row r="3527" spans="4:5">
      <c r="D3527" s="437" t="s">
        <v>7401</v>
      </c>
      <c r="E3527" s="435"/>
    </row>
    <row r="3528" spans="4:5">
      <c r="D3528" s="437" t="s">
        <v>7402</v>
      </c>
      <c r="E3528" s="435"/>
    </row>
    <row r="3529" spans="4:5">
      <c r="D3529" s="437" t="s">
        <v>7403</v>
      </c>
      <c r="E3529" s="435"/>
    </row>
    <row r="3530" spans="4:5">
      <c r="D3530" s="437" t="s">
        <v>7404</v>
      </c>
      <c r="E3530" s="435"/>
    </row>
    <row r="3531" spans="4:5">
      <c r="D3531" s="437" t="s">
        <v>7405</v>
      </c>
      <c r="E3531" s="435"/>
    </row>
    <row r="3532" spans="4:5">
      <c r="D3532" s="437" t="s">
        <v>7406</v>
      </c>
      <c r="E3532" s="435"/>
    </row>
    <row r="3533" spans="4:5">
      <c r="D3533" s="437" t="s">
        <v>7407</v>
      </c>
      <c r="E3533" s="435"/>
    </row>
    <row r="3534" spans="4:5">
      <c r="D3534" s="437" t="s">
        <v>7408</v>
      </c>
      <c r="E3534" s="435"/>
    </row>
    <row r="3535" spans="4:5">
      <c r="D3535" s="437" t="s">
        <v>7409</v>
      </c>
      <c r="E3535" s="435"/>
    </row>
    <row r="3536" spans="4:5">
      <c r="D3536" s="437" t="s">
        <v>7410</v>
      </c>
      <c r="E3536" s="435"/>
    </row>
    <row r="3537" spans="4:5">
      <c r="D3537" s="434" t="s">
        <v>7411</v>
      </c>
      <c r="E3537" s="435" t="s">
        <v>7412</v>
      </c>
    </row>
    <row r="3538" spans="4:5">
      <c r="D3538" s="437" t="s">
        <v>7413</v>
      </c>
      <c r="E3538" s="435"/>
    </row>
    <row r="3539" spans="4:5">
      <c r="D3539" s="437" t="s">
        <v>7414</v>
      </c>
      <c r="E3539" s="435"/>
    </row>
    <row r="3540" spans="4:5">
      <c r="D3540" s="437" t="s">
        <v>7415</v>
      </c>
      <c r="E3540" s="435"/>
    </row>
    <row r="3541" spans="4:5">
      <c r="D3541" s="437" t="s">
        <v>7416</v>
      </c>
      <c r="E3541" s="435"/>
    </row>
    <row r="3542" spans="4:5">
      <c r="D3542" s="437" t="s">
        <v>7417</v>
      </c>
      <c r="E3542" s="435"/>
    </row>
    <row r="3543" spans="4:5">
      <c r="D3543" s="437" t="s">
        <v>7418</v>
      </c>
      <c r="E3543" s="435"/>
    </row>
    <row r="3544" spans="4:5">
      <c r="D3544" s="437" t="s">
        <v>7419</v>
      </c>
      <c r="E3544" s="435"/>
    </row>
    <row r="3545" spans="4:5">
      <c r="D3545" s="437" t="s">
        <v>7420</v>
      </c>
      <c r="E3545" s="435"/>
    </row>
    <row r="3546" spans="4:5">
      <c r="D3546" s="437" t="s">
        <v>7421</v>
      </c>
      <c r="E3546" s="435"/>
    </row>
    <row r="3547" spans="4:5">
      <c r="D3547" s="437" t="s">
        <v>7422</v>
      </c>
      <c r="E3547" s="435"/>
    </row>
    <row r="3548" spans="4:5">
      <c r="D3548" s="434" t="s">
        <v>7423</v>
      </c>
      <c r="E3548" s="435" t="s">
        <v>7424</v>
      </c>
    </row>
    <row r="3549" spans="4:5">
      <c r="D3549" s="437" t="s">
        <v>7425</v>
      </c>
      <c r="E3549" s="435"/>
    </row>
    <row r="3550" spans="4:5">
      <c r="D3550" s="437" t="s">
        <v>7426</v>
      </c>
      <c r="E3550" s="435"/>
    </row>
    <row r="3551" spans="4:5">
      <c r="D3551" s="437" t="s">
        <v>7427</v>
      </c>
      <c r="E3551" s="435"/>
    </row>
    <row r="3552" spans="4:5">
      <c r="D3552" s="437" t="s">
        <v>7428</v>
      </c>
      <c r="E3552" s="435"/>
    </row>
    <row r="3553" spans="4:5">
      <c r="D3553" s="434" t="s">
        <v>7429</v>
      </c>
      <c r="E3553" s="435" t="s">
        <v>7430</v>
      </c>
    </row>
    <row r="3554" spans="4:5">
      <c r="D3554" s="437" t="s">
        <v>7431</v>
      </c>
      <c r="E3554" s="435"/>
    </row>
    <row r="3555" spans="4:5">
      <c r="D3555" s="437" t="s">
        <v>7432</v>
      </c>
      <c r="E3555" s="435"/>
    </row>
    <row r="3556" spans="4:5">
      <c r="D3556" s="434" t="s">
        <v>7433</v>
      </c>
      <c r="E3556" s="435" t="s">
        <v>7434</v>
      </c>
    </row>
    <row r="3557" spans="4:5">
      <c r="D3557" s="434" t="s">
        <v>7435</v>
      </c>
      <c r="E3557" s="435" t="s">
        <v>7434</v>
      </c>
    </row>
    <row r="3558" spans="4:5">
      <c r="D3558" s="437" t="s">
        <v>7436</v>
      </c>
      <c r="E3558" s="435"/>
    </row>
    <row r="3559" spans="4:5">
      <c r="D3559" s="437" t="s">
        <v>7437</v>
      </c>
      <c r="E3559" s="435"/>
    </row>
    <row r="3560" spans="4:5">
      <c r="D3560" s="437" t="s">
        <v>7438</v>
      </c>
      <c r="E3560" s="435"/>
    </row>
    <row r="3561" spans="4:5">
      <c r="D3561" s="437" t="s">
        <v>7439</v>
      </c>
      <c r="E3561" s="435"/>
    </row>
    <row r="3562" spans="4:5">
      <c r="D3562" s="434" t="s">
        <v>7440</v>
      </c>
      <c r="E3562" s="435" t="s">
        <v>7441</v>
      </c>
    </row>
    <row r="3563" spans="4:5">
      <c r="D3563" s="437" t="s">
        <v>7442</v>
      </c>
      <c r="E3563" s="435"/>
    </row>
    <row r="3564" spans="4:5">
      <c r="D3564" s="434" t="s">
        <v>7443</v>
      </c>
      <c r="E3564" s="435" t="s">
        <v>7444</v>
      </c>
    </row>
    <row r="3565" spans="4:5">
      <c r="D3565" s="437" t="s">
        <v>7445</v>
      </c>
      <c r="E3565" s="435"/>
    </row>
    <row r="3566" spans="4:5">
      <c r="D3566" s="437" t="s">
        <v>7446</v>
      </c>
      <c r="E3566" s="435"/>
    </row>
    <row r="3567" spans="4:5">
      <c r="D3567" s="437" t="s">
        <v>7447</v>
      </c>
      <c r="E3567" s="435"/>
    </row>
    <row r="3568" spans="4:5">
      <c r="D3568" s="437" t="s">
        <v>7448</v>
      </c>
      <c r="E3568" s="435"/>
    </row>
    <row r="3569" spans="4:5">
      <c r="D3569" s="437" t="s">
        <v>7449</v>
      </c>
      <c r="E3569" s="435"/>
    </row>
    <row r="3570" spans="4:5">
      <c r="D3570" s="437" t="s">
        <v>7450</v>
      </c>
      <c r="E3570" s="435"/>
    </row>
    <row r="3571" spans="4:5">
      <c r="D3571" s="437" t="s">
        <v>7451</v>
      </c>
      <c r="E3571" s="435"/>
    </row>
    <row r="3572" spans="4:5">
      <c r="D3572" s="437" t="s">
        <v>7452</v>
      </c>
      <c r="E3572" s="435"/>
    </row>
    <row r="3573" spans="4:5">
      <c r="D3573" s="437" t="s">
        <v>7453</v>
      </c>
      <c r="E3573" s="435"/>
    </row>
    <row r="3574" spans="4:5">
      <c r="D3574" s="437" t="s">
        <v>7454</v>
      </c>
      <c r="E3574" s="435"/>
    </row>
    <row r="3575" spans="4:5">
      <c r="D3575" s="437" t="s">
        <v>7455</v>
      </c>
      <c r="E3575" s="435"/>
    </row>
    <row r="3576" spans="4:5">
      <c r="D3576" s="437" t="s">
        <v>7456</v>
      </c>
      <c r="E3576" s="435"/>
    </row>
    <row r="3577" spans="4:5">
      <c r="D3577" s="437" t="s">
        <v>7457</v>
      </c>
      <c r="E3577" s="435"/>
    </row>
    <row r="3578" spans="4:5">
      <c r="D3578" s="437" t="s">
        <v>7458</v>
      </c>
      <c r="E3578" s="435"/>
    </row>
    <row r="3579" spans="4:5">
      <c r="D3579" s="437" t="s">
        <v>7459</v>
      </c>
      <c r="E3579" s="435"/>
    </row>
    <row r="3580" spans="4:5">
      <c r="D3580" s="437" t="s">
        <v>7460</v>
      </c>
      <c r="E3580" s="435"/>
    </row>
    <row r="3581" spans="4:5">
      <c r="D3581" s="437" t="s">
        <v>7461</v>
      </c>
      <c r="E3581" s="435"/>
    </row>
    <row r="3582" spans="4:5">
      <c r="D3582" s="437" t="s">
        <v>7462</v>
      </c>
      <c r="E3582" s="435"/>
    </row>
    <row r="3583" spans="4:5">
      <c r="D3583" s="437" t="s">
        <v>7463</v>
      </c>
      <c r="E3583" s="435"/>
    </row>
    <row r="3584" spans="4:5">
      <c r="D3584" s="434" t="s">
        <v>7464</v>
      </c>
      <c r="E3584" s="435" t="s">
        <v>7465</v>
      </c>
    </row>
    <row r="3585" spans="4:5">
      <c r="D3585" s="437" t="s">
        <v>7466</v>
      </c>
      <c r="E3585" s="435"/>
    </row>
    <row r="3586" spans="4:5">
      <c r="D3586" s="437" t="s">
        <v>7467</v>
      </c>
      <c r="E3586" s="435"/>
    </row>
    <row r="3587" spans="4:5">
      <c r="D3587" s="437" t="s">
        <v>7468</v>
      </c>
      <c r="E3587" s="435"/>
    </row>
    <row r="3588" spans="4:5">
      <c r="D3588" s="437" t="s">
        <v>7469</v>
      </c>
      <c r="E3588" s="435"/>
    </row>
    <row r="3589" spans="4:5">
      <c r="D3589" s="437" t="s">
        <v>7470</v>
      </c>
      <c r="E3589" s="435"/>
    </row>
    <row r="3590" spans="4:5">
      <c r="D3590" s="437" t="s">
        <v>7471</v>
      </c>
      <c r="E3590" s="435"/>
    </row>
    <row r="3591" spans="4:5">
      <c r="D3591" s="437" t="s">
        <v>7472</v>
      </c>
      <c r="E3591" s="435"/>
    </row>
    <row r="3592" spans="4:5">
      <c r="D3592" s="437" t="s">
        <v>7473</v>
      </c>
      <c r="E3592" s="435"/>
    </row>
    <row r="3593" spans="4:5">
      <c r="D3593" s="437" t="s">
        <v>7474</v>
      </c>
      <c r="E3593" s="435"/>
    </row>
    <row r="3594" spans="4:5">
      <c r="D3594" s="437" t="s">
        <v>7475</v>
      </c>
      <c r="E3594" s="435"/>
    </row>
    <row r="3595" spans="4:5">
      <c r="D3595" s="437" t="s">
        <v>7476</v>
      </c>
      <c r="E3595" s="435"/>
    </row>
    <row r="3596" spans="4:5">
      <c r="D3596" s="437" t="s">
        <v>7477</v>
      </c>
      <c r="E3596" s="435"/>
    </row>
    <row r="3597" spans="4:5">
      <c r="D3597" s="437" t="s">
        <v>7478</v>
      </c>
      <c r="E3597" s="435"/>
    </row>
    <row r="3598" spans="4:5">
      <c r="D3598" s="437" t="s">
        <v>7479</v>
      </c>
      <c r="E3598" s="435"/>
    </row>
    <row r="3599" spans="4:5">
      <c r="D3599" s="437" t="s">
        <v>7480</v>
      </c>
      <c r="E3599" s="435"/>
    </row>
    <row r="3600" spans="4:5">
      <c r="D3600" s="437" t="s">
        <v>7481</v>
      </c>
      <c r="E3600" s="435"/>
    </row>
    <row r="3601" spans="4:5">
      <c r="D3601" s="434" t="s">
        <v>7482</v>
      </c>
      <c r="E3601" s="435" t="s">
        <v>7483</v>
      </c>
    </row>
    <row r="3602" spans="4:5">
      <c r="D3602" s="437" t="s">
        <v>7484</v>
      </c>
      <c r="E3602" s="435"/>
    </row>
    <row r="3603" spans="4:5">
      <c r="D3603" s="437" t="s">
        <v>7485</v>
      </c>
      <c r="E3603" s="435"/>
    </row>
    <row r="3604" spans="4:5">
      <c r="D3604" s="437" t="s">
        <v>7486</v>
      </c>
      <c r="E3604" s="435"/>
    </row>
    <row r="3605" spans="4:5">
      <c r="D3605" s="437" t="s">
        <v>7487</v>
      </c>
      <c r="E3605" s="435"/>
    </row>
    <row r="3606" spans="4:5">
      <c r="D3606" s="437" t="s">
        <v>7488</v>
      </c>
      <c r="E3606" s="435"/>
    </row>
    <row r="3607" spans="4:5">
      <c r="D3607" s="437" t="s">
        <v>7489</v>
      </c>
      <c r="E3607" s="435"/>
    </row>
    <row r="3608" spans="4:5">
      <c r="D3608" s="437" t="s">
        <v>7490</v>
      </c>
      <c r="E3608" s="435"/>
    </row>
    <row r="3609" spans="4:5">
      <c r="D3609" s="437" t="s">
        <v>7491</v>
      </c>
      <c r="E3609" s="435"/>
    </row>
    <row r="3610" spans="4:5">
      <c r="D3610" s="437" t="s">
        <v>7492</v>
      </c>
      <c r="E3610" s="435"/>
    </row>
    <row r="3611" spans="4:5">
      <c r="D3611" s="437" t="s">
        <v>7493</v>
      </c>
      <c r="E3611" s="435"/>
    </row>
    <row r="3612" spans="4:5">
      <c r="D3612" s="437" t="s">
        <v>7494</v>
      </c>
      <c r="E3612" s="435"/>
    </row>
    <row r="3613" spans="4:5">
      <c r="D3613" s="437" t="s">
        <v>7495</v>
      </c>
      <c r="E3613" s="435"/>
    </row>
    <row r="3614" spans="4:5">
      <c r="D3614" s="437" t="s">
        <v>7496</v>
      </c>
      <c r="E3614" s="435"/>
    </row>
    <row r="3615" spans="4:5">
      <c r="D3615" s="437" t="s">
        <v>7497</v>
      </c>
      <c r="E3615" s="435"/>
    </row>
    <row r="3616" spans="4:5">
      <c r="D3616" s="437" t="s">
        <v>7498</v>
      </c>
      <c r="E3616" s="435"/>
    </row>
    <row r="3617" spans="4:5">
      <c r="D3617" s="437" t="s">
        <v>7499</v>
      </c>
      <c r="E3617" s="435"/>
    </row>
    <row r="3618" spans="4:5">
      <c r="D3618" s="434" t="s">
        <v>7500</v>
      </c>
      <c r="E3618" s="435" t="s">
        <v>7501</v>
      </c>
    </row>
    <row r="3619" spans="4:5">
      <c r="D3619" s="434" t="s">
        <v>7502</v>
      </c>
      <c r="E3619" s="435" t="s">
        <v>7501</v>
      </c>
    </row>
    <row r="3620" spans="4:5">
      <c r="D3620" s="437" t="s">
        <v>7503</v>
      </c>
      <c r="E3620" s="435"/>
    </row>
    <row r="3621" spans="4:5">
      <c r="D3621" s="437" t="s">
        <v>7504</v>
      </c>
      <c r="E3621" s="435"/>
    </row>
    <row r="3622" spans="4:5">
      <c r="D3622" s="437" t="s">
        <v>7505</v>
      </c>
      <c r="E3622" s="435"/>
    </row>
    <row r="3623" spans="4:5">
      <c r="D3623" s="434" t="s">
        <v>7506</v>
      </c>
      <c r="E3623" s="435" t="s">
        <v>7501</v>
      </c>
    </row>
    <row r="3624" spans="4:5">
      <c r="D3624" s="437" t="s">
        <v>7507</v>
      </c>
      <c r="E3624" s="435"/>
    </row>
    <row r="3625" spans="4:5">
      <c r="D3625" s="437" t="s">
        <v>7508</v>
      </c>
      <c r="E3625" s="435"/>
    </row>
    <row r="3626" spans="4:5">
      <c r="D3626" s="437" t="s">
        <v>7509</v>
      </c>
      <c r="E3626" s="435"/>
    </row>
    <row r="3627" spans="4:5">
      <c r="D3627" s="437" t="s">
        <v>7510</v>
      </c>
      <c r="E3627" s="435"/>
    </row>
    <row r="3628" spans="4:5">
      <c r="D3628" s="437" t="s">
        <v>7511</v>
      </c>
      <c r="E3628" s="435"/>
    </row>
    <row r="3629" spans="4:5">
      <c r="D3629" s="437" t="s">
        <v>7512</v>
      </c>
      <c r="E3629" s="435"/>
    </row>
    <row r="3630" spans="4:5">
      <c r="D3630" s="434" t="s">
        <v>7513</v>
      </c>
      <c r="E3630" s="435" t="s">
        <v>7514</v>
      </c>
    </row>
    <row r="3631" spans="4:5">
      <c r="D3631" s="434" t="s">
        <v>7515</v>
      </c>
      <c r="E3631" s="435" t="s">
        <v>7514</v>
      </c>
    </row>
    <row r="3632" spans="4:5">
      <c r="D3632" s="437" t="s">
        <v>7516</v>
      </c>
      <c r="E3632" s="435"/>
    </row>
    <row r="3633" spans="4:5">
      <c r="D3633" s="437" t="s">
        <v>7517</v>
      </c>
      <c r="E3633" s="435"/>
    </row>
    <row r="3634" spans="4:5">
      <c r="D3634" s="437" t="s">
        <v>7518</v>
      </c>
      <c r="E3634" s="435"/>
    </row>
    <row r="3635" spans="4:5">
      <c r="D3635" s="437" t="s">
        <v>7519</v>
      </c>
      <c r="E3635" s="435"/>
    </row>
    <row r="3636" spans="4:5">
      <c r="D3636" s="437" t="s">
        <v>7520</v>
      </c>
      <c r="E3636" s="435"/>
    </row>
    <row r="3637" spans="4:5">
      <c r="D3637" s="437" t="s">
        <v>7521</v>
      </c>
      <c r="E3637" s="435"/>
    </row>
    <row r="3638" spans="4:5">
      <c r="D3638" s="434" t="s">
        <v>7522</v>
      </c>
      <c r="E3638" s="435" t="s">
        <v>7523</v>
      </c>
    </row>
    <row r="3639" spans="4:5">
      <c r="D3639" s="437" t="s">
        <v>7524</v>
      </c>
      <c r="E3639" s="435"/>
    </row>
    <row r="3640" spans="4:5">
      <c r="D3640" s="437" t="s">
        <v>7525</v>
      </c>
      <c r="E3640" s="435"/>
    </row>
    <row r="3641" spans="4:5">
      <c r="D3641" s="437" t="s">
        <v>7526</v>
      </c>
      <c r="E3641" s="435"/>
    </row>
    <row r="3642" spans="4:5">
      <c r="D3642" s="437" t="s">
        <v>7527</v>
      </c>
      <c r="E3642" s="435"/>
    </row>
    <row r="3643" spans="4:5">
      <c r="D3643" s="437" t="s">
        <v>7528</v>
      </c>
      <c r="E3643" s="435"/>
    </row>
    <row r="3644" spans="4:5">
      <c r="D3644" s="434" t="s">
        <v>7529</v>
      </c>
      <c r="E3644" s="435" t="s">
        <v>7530</v>
      </c>
    </row>
    <row r="3645" spans="4:5">
      <c r="D3645" s="434" t="s">
        <v>7531</v>
      </c>
      <c r="E3645" s="435" t="s">
        <v>7530</v>
      </c>
    </row>
    <row r="3646" spans="4:5">
      <c r="D3646" s="437" t="s">
        <v>7532</v>
      </c>
      <c r="E3646" s="435"/>
    </row>
    <row r="3647" spans="4:5">
      <c r="D3647" s="437" t="s">
        <v>7533</v>
      </c>
      <c r="E3647" s="435"/>
    </row>
    <row r="3648" spans="4:5">
      <c r="D3648" s="437" t="s">
        <v>7534</v>
      </c>
      <c r="E3648" s="435"/>
    </row>
    <row r="3649" spans="4:5">
      <c r="D3649" s="437" t="s">
        <v>7535</v>
      </c>
      <c r="E3649" s="435"/>
    </row>
    <row r="3650" spans="4:5">
      <c r="D3650" s="437" t="s">
        <v>7536</v>
      </c>
      <c r="E3650" s="435"/>
    </row>
    <row r="3651" spans="4:5">
      <c r="D3651" s="434" t="s">
        <v>7537</v>
      </c>
      <c r="E3651" s="435" t="s">
        <v>7530</v>
      </c>
    </row>
    <row r="3652" spans="4:5">
      <c r="D3652" s="437" t="s">
        <v>7538</v>
      </c>
      <c r="E3652" s="435"/>
    </row>
    <row r="3653" spans="4:5">
      <c r="D3653" s="437" t="s">
        <v>7539</v>
      </c>
      <c r="E3653" s="435"/>
    </row>
    <row r="3654" spans="4:5">
      <c r="D3654" s="437" t="s">
        <v>7540</v>
      </c>
      <c r="E3654" s="435"/>
    </row>
    <row r="3655" spans="4:5">
      <c r="D3655" s="437" t="s">
        <v>7541</v>
      </c>
      <c r="E3655" s="435"/>
    </row>
    <row r="3656" spans="4:5">
      <c r="D3656" s="434" t="s">
        <v>7542</v>
      </c>
      <c r="E3656" s="435" t="s">
        <v>7543</v>
      </c>
    </row>
    <row r="3657" spans="4:5">
      <c r="D3657" s="437" t="s">
        <v>7544</v>
      </c>
      <c r="E3657" s="435"/>
    </row>
    <row r="3658" spans="4:5">
      <c r="D3658" s="434" t="s">
        <v>7545</v>
      </c>
      <c r="E3658" s="435" t="s">
        <v>7546</v>
      </c>
    </row>
    <row r="3659" spans="4:5">
      <c r="D3659" s="437" t="s">
        <v>7547</v>
      </c>
      <c r="E3659" s="435"/>
    </row>
    <row r="3660" spans="4:5">
      <c r="D3660" s="437" t="s">
        <v>7548</v>
      </c>
      <c r="E3660" s="435"/>
    </row>
    <row r="3661" spans="4:5">
      <c r="D3661" s="437" t="s">
        <v>7549</v>
      </c>
      <c r="E3661" s="435"/>
    </row>
    <row r="3662" spans="4:5">
      <c r="D3662" s="437" t="s">
        <v>7550</v>
      </c>
      <c r="E3662" s="435"/>
    </row>
    <row r="3663" spans="4:5">
      <c r="D3663" s="437" t="s">
        <v>7551</v>
      </c>
      <c r="E3663" s="435"/>
    </row>
    <row r="3664" spans="4:5">
      <c r="D3664" s="434" t="s">
        <v>7552</v>
      </c>
      <c r="E3664" s="435" t="s">
        <v>7553</v>
      </c>
    </row>
    <row r="3665" spans="4:5">
      <c r="D3665" s="437" t="s">
        <v>7554</v>
      </c>
      <c r="E3665" s="435"/>
    </row>
    <row r="3666" spans="4:5">
      <c r="D3666" s="437" t="s">
        <v>7555</v>
      </c>
      <c r="E3666" s="435"/>
    </row>
    <row r="3667" spans="4:5">
      <c r="D3667" s="434" t="s">
        <v>7556</v>
      </c>
      <c r="E3667" s="435" t="s">
        <v>7557</v>
      </c>
    </row>
    <row r="3668" spans="4:5">
      <c r="D3668" s="437" t="s">
        <v>7558</v>
      </c>
      <c r="E3668" s="435"/>
    </row>
    <row r="3669" spans="4:5">
      <c r="D3669" s="437" t="s">
        <v>7559</v>
      </c>
      <c r="E3669" s="435"/>
    </row>
    <row r="3670" spans="4:5">
      <c r="D3670" s="434" t="s">
        <v>7560</v>
      </c>
      <c r="E3670" s="435" t="s">
        <v>7561</v>
      </c>
    </row>
    <row r="3671" spans="4:5">
      <c r="D3671" s="434" t="s">
        <v>7562</v>
      </c>
      <c r="E3671" s="435" t="s">
        <v>7561</v>
      </c>
    </row>
    <row r="3672" spans="4:5">
      <c r="D3672" s="437" t="s">
        <v>7563</v>
      </c>
      <c r="E3672" s="435"/>
    </row>
    <row r="3673" spans="4:5">
      <c r="D3673" s="434" t="s">
        <v>7564</v>
      </c>
      <c r="E3673" s="435" t="s">
        <v>7565</v>
      </c>
    </row>
    <row r="3674" spans="4:5">
      <c r="D3674" s="437" t="s">
        <v>7566</v>
      </c>
      <c r="E3674" s="435"/>
    </row>
    <row r="3675" spans="4:5">
      <c r="D3675" s="434" t="s">
        <v>551</v>
      </c>
      <c r="E3675" s="435" t="s">
        <v>7567</v>
      </c>
    </row>
    <row r="3676" spans="4:5">
      <c r="D3676" s="437" t="s">
        <v>7568</v>
      </c>
      <c r="E3676" s="435"/>
    </row>
    <row r="3677" spans="4:5">
      <c r="D3677" s="437" t="s">
        <v>7569</v>
      </c>
      <c r="E3677" s="435"/>
    </row>
    <row r="3678" spans="4:5">
      <c r="D3678" s="437" t="s">
        <v>7570</v>
      </c>
      <c r="E3678" s="435"/>
    </row>
    <row r="3679" spans="4:5">
      <c r="D3679" s="437" t="s">
        <v>7571</v>
      </c>
      <c r="E3679" s="435"/>
    </row>
    <row r="3680" spans="4:5">
      <c r="D3680" s="434" t="s">
        <v>7572</v>
      </c>
      <c r="E3680" s="435" t="s">
        <v>7573</v>
      </c>
    </row>
    <row r="3681" spans="4:5">
      <c r="D3681" s="437" t="s">
        <v>7574</v>
      </c>
      <c r="E3681" s="435"/>
    </row>
    <row r="3682" spans="4:5">
      <c r="D3682" s="437" t="s">
        <v>7575</v>
      </c>
      <c r="E3682" s="435"/>
    </row>
    <row r="3683" spans="4:5">
      <c r="D3683" s="437" t="s">
        <v>7576</v>
      </c>
      <c r="E3683" s="435"/>
    </row>
    <row r="3684" spans="4:5">
      <c r="D3684" s="437" t="s">
        <v>7577</v>
      </c>
      <c r="E3684" s="435"/>
    </row>
    <row r="3685" spans="4:5">
      <c r="D3685" s="437" t="s">
        <v>7578</v>
      </c>
      <c r="E3685" s="435"/>
    </row>
    <row r="3686" spans="4:5">
      <c r="D3686" s="437" t="s">
        <v>7579</v>
      </c>
      <c r="E3686" s="435"/>
    </row>
    <row r="3687" spans="4:5">
      <c r="D3687" s="437" t="s">
        <v>7580</v>
      </c>
      <c r="E3687" s="435"/>
    </row>
    <row r="3688" spans="4:5">
      <c r="D3688" s="437" t="s">
        <v>7581</v>
      </c>
      <c r="E3688" s="435"/>
    </row>
    <row r="3689" spans="4:5">
      <c r="D3689" s="434" t="s">
        <v>7582</v>
      </c>
      <c r="E3689" s="435" t="s">
        <v>7583</v>
      </c>
    </row>
    <row r="3690" spans="4:5">
      <c r="D3690" s="434" t="s">
        <v>7584</v>
      </c>
      <c r="E3690" s="435" t="s">
        <v>7585</v>
      </c>
    </row>
    <row r="3691" spans="4:5">
      <c r="D3691" s="437" t="s">
        <v>7586</v>
      </c>
      <c r="E3691" s="435"/>
    </row>
    <row r="3692" spans="4:5">
      <c r="D3692" s="437" t="s">
        <v>7587</v>
      </c>
      <c r="E3692" s="435"/>
    </row>
    <row r="3693" spans="4:5">
      <c r="D3693" s="437" t="s">
        <v>7588</v>
      </c>
      <c r="E3693" s="435"/>
    </row>
    <row r="3694" spans="4:5">
      <c r="D3694" s="434" t="s">
        <v>7589</v>
      </c>
      <c r="E3694" s="435" t="s">
        <v>7590</v>
      </c>
    </row>
    <row r="3695" spans="4:5">
      <c r="D3695" s="437" t="s">
        <v>7591</v>
      </c>
      <c r="E3695" s="435"/>
    </row>
    <row r="3696" spans="4:5">
      <c r="D3696" s="437" t="s">
        <v>7592</v>
      </c>
      <c r="E3696" s="435"/>
    </row>
    <row r="3697" spans="4:5">
      <c r="D3697" s="437" t="s">
        <v>7593</v>
      </c>
      <c r="E3697" s="435"/>
    </row>
    <row r="3698" spans="4:5">
      <c r="D3698" s="434" t="s">
        <v>7594</v>
      </c>
      <c r="E3698" s="435" t="s">
        <v>7595</v>
      </c>
    </row>
    <row r="3699" spans="4:5">
      <c r="D3699" s="434" t="s">
        <v>7596</v>
      </c>
      <c r="E3699" s="435" t="s">
        <v>7595</v>
      </c>
    </row>
    <row r="3700" spans="4:5">
      <c r="D3700" s="437" t="s">
        <v>7597</v>
      </c>
      <c r="E3700" s="435"/>
    </row>
    <row r="3701" spans="4:5">
      <c r="D3701" s="437" t="s">
        <v>7598</v>
      </c>
      <c r="E3701" s="435"/>
    </row>
    <row r="3702" spans="4:5">
      <c r="D3702" s="437" t="s">
        <v>7599</v>
      </c>
      <c r="E3702" s="435"/>
    </row>
    <row r="3703" spans="4:5">
      <c r="D3703" s="437" t="s">
        <v>7600</v>
      </c>
      <c r="E3703" s="435"/>
    </row>
    <row r="3704" spans="4:5">
      <c r="D3704" s="434" t="s">
        <v>7601</v>
      </c>
      <c r="E3704" s="435" t="s">
        <v>7602</v>
      </c>
    </row>
    <row r="3705" spans="4:5">
      <c r="D3705" s="434" t="s">
        <v>7603</v>
      </c>
      <c r="E3705" s="435" t="s">
        <v>7604</v>
      </c>
    </row>
    <row r="3706" spans="4:5">
      <c r="D3706" s="437" t="s">
        <v>7605</v>
      </c>
      <c r="E3706" s="435"/>
    </row>
    <row r="3707" spans="4:5">
      <c r="D3707" s="437" t="s">
        <v>7606</v>
      </c>
      <c r="E3707" s="435"/>
    </row>
    <row r="3708" spans="4:5">
      <c r="D3708" s="437" t="s">
        <v>7607</v>
      </c>
      <c r="E3708" s="435"/>
    </row>
    <row r="3709" spans="4:5">
      <c r="D3709" s="437" t="s">
        <v>7608</v>
      </c>
      <c r="E3709" s="435"/>
    </row>
    <row r="3710" spans="4:5">
      <c r="D3710" s="434" t="s">
        <v>7609</v>
      </c>
      <c r="E3710" s="435" t="s">
        <v>7610</v>
      </c>
    </row>
    <row r="3711" spans="4:5">
      <c r="D3711" s="437" t="s">
        <v>7611</v>
      </c>
      <c r="E3711" s="435"/>
    </row>
    <row r="3712" spans="4:5">
      <c r="D3712" s="437" t="s">
        <v>7612</v>
      </c>
      <c r="E3712" s="435"/>
    </row>
    <row r="3713" spans="4:5">
      <c r="D3713" s="437" t="s">
        <v>7613</v>
      </c>
      <c r="E3713" s="435"/>
    </row>
    <row r="3714" spans="4:5">
      <c r="D3714" s="434" t="s">
        <v>7614</v>
      </c>
      <c r="E3714" s="435" t="s">
        <v>7615</v>
      </c>
    </row>
    <row r="3715" spans="4:5">
      <c r="D3715" s="434" t="s">
        <v>7616</v>
      </c>
      <c r="E3715" s="435" t="s">
        <v>7617</v>
      </c>
    </row>
    <row r="3716" spans="4:5">
      <c r="D3716" s="437" t="s">
        <v>7618</v>
      </c>
      <c r="E3716" s="435"/>
    </row>
    <row r="3717" spans="4:5">
      <c r="D3717" s="437" t="s">
        <v>7619</v>
      </c>
      <c r="E3717" s="435"/>
    </row>
    <row r="3718" spans="4:5">
      <c r="D3718" s="434" t="s">
        <v>7620</v>
      </c>
      <c r="E3718" s="435" t="s">
        <v>7621</v>
      </c>
    </row>
    <row r="3719" spans="4:5">
      <c r="D3719" s="437" t="s">
        <v>7622</v>
      </c>
      <c r="E3719" s="435"/>
    </row>
    <row r="3720" spans="4:5">
      <c r="D3720" s="434" t="s">
        <v>7623</v>
      </c>
      <c r="E3720" s="435" t="s">
        <v>7624</v>
      </c>
    </row>
    <row r="3721" spans="4:5">
      <c r="D3721" s="434" t="s">
        <v>7625</v>
      </c>
      <c r="E3721" s="435" t="s">
        <v>7624</v>
      </c>
    </row>
    <row r="3722" spans="4:5">
      <c r="D3722" s="437" t="s">
        <v>7626</v>
      </c>
      <c r="E3722" s="435"/>
    </row>
    <row r="3723" spans="4:5">
      <c r="D3723" s="437" t="s">
        <v>7627</v>
      </c>
      <c r="E3723" s="435"/>
    </row>
    <row r="3724" spans="4:5">
      <c r="D3724" s="437" t="s">
        <v>7628</v>
      </c>
      <c r="E3724" s="435"/>
    </row>
    <row r="3725" spans="4:5">
      <c r="D3725" s="437" t="s">
        <v>7629</v>
      </c>
      <c r="E3725" s="435"/>
    </row>
    <row r="3726" spans="4:5">
      <c r="D3726" s="437" t="s">
        <v>7630</v>
      </c>
      <c r="E3726" s="435"/>
    </row>
    <row r="3727" spans="4:5">
      <c r="D3727" s="437" t="s">
        <v>7631</v>
      </c>
      <c r="E3727" s="435"/>
    </row>
    <row r="3728" spans="4:5">
      <c r="D3728" s="434" t="s">
        <v>7632</v>
      </c>
      <c r="E3728" s="435" t="s">
        <v>7624</v>
      </c>
    </row>
    <row r="3729" spans="4:5">
      <c r="D3729" s="437" t="s">
        <v>7633</v>
      </c>
      <c r="E3729" s="435"/>
    </row>
    <row r="3730" spans="4:5">
      <c r="D3730" s="437" t="s">
        <v>7634</v>
      </c>
      <c r="E3730" s="435"/>
    </row>
    <row r="3731" spans="4:5">
      <c r="D3731" s="437" t="s">
        <v>7635</v>
      </c>
      <c r="E3731" s="435"/>
    </row>
    <row r="3732" spans="4:5">
      <c r="D3732" s="437" t="s">
        <v>7636</v>
      </c>
      <c r="E3732" s="435"/>
    </row>
    <row r="3733" spans="4:5">
      <c r="D3733" s="437" t="s">
        <v>7637</v>
      </c>
      <c r="E3733" s="435"/>
    </row>
    <row r="3734" spans="4:5">
      <c r="D3734" s="437" t="s">
        <v>7638</v>
      </c>
      <c r="E3734" s="435"/>
    </row>
    <row r="3735" spans="4:5">
      <c r="D3735" s="437" t="s">
        <v>7639</v>
      </c>
      <c r="E3735" s="435"/>
    </row>
    <row r="3736" spans="4:5">
      <c r="D3736" s="437" t="s">
        <v>7640</v>
      </c>
      <c r="E3736" s="435"/>
    </row>
    <row r="3737" spans="4:5">
      <c r="D3737" s="437" t="s">
        <v>7641</v>
      </c>
      <c r="E3737" s="435"/>
    </row>
    <row r="3738" spans="4:5">
      <c r="D3738" s="434" t="s">
        <v>7642</v>
      </c>
      <c r="E3738" s="435" t="s">
        <v>7643</v>
      </c>
    </row>
    <row r="3739" spans="4:5">
      <c r="D3739" s="437" t="s">
        <v>7644</v>
      </c>
      <c r="E3739" s="435"/>
    </row>
    <row r="3740" spans="4:5">
      <c r="D3740" s="437" t="s">
        <v>7645</v>
      </c>
      <c r="E3740" s="435"/>
    </row>
    <row r="3741" spans="4:5">
      <c r="D3741" s="434" t="s">
        <v>7646</v>
      </c>
      <c r="E3741" s="435"/>
    </row>
    <row r="3742" spans="4:5">
      <c r="D3742" s="437" t="s">
        <v>7647</v>
      </c>
      <c r="E3742" s="435"/>
    </row>
    <row r="3743" spans="4:5">
      <c r="D3743" s="434" t="s">
        <v>7648</v>
      </c>
      <c r="E3743" s="435" t="s">
        <v>7649</v>
      </c>
    </row>
    <row r="3744" spans="4:5">
      <c r="D3744" s="437" t="s">
        <v>7650</v>
      </c>
      <c r="E3744" s="435"/>
    </row>
    <row r="3745" spans="4:5">
      <c r="D3745" s="434" t="s">
        <v>7651</v>
      </c>
      <c r="E3745" s="435" t="s">
        <v>7652</v>
      </c>
    </row>
    <row r="3746" spans="4:5">
      <c r="D3746" s="437" t="s">
        <v>7653</v>
      </c>
      <c r="E3746" s="435"/>
    </row>
    <row r="3747" spans="4:5">
      <c r="D3747" s="437" t="s">
        <v>7654</v>
      </c>
      <c r="E3747" s="435"/>
    </row>
    <row r="3748" spans="4:5">
      <c r="D3748" s="437" t="s">
        <v>7655</v>
      </c>
      <c r="E3748" s="435"/>
    </row>
    <row r="3749" spans="4:5">
      <c r="D3749" s="437" t="s">
        <v>7656</v>
      </c>
      <c r="E3749" s="435"/>
    </row>
    <row r="3750" spans="4:5">
      <c r="D3750" s="437" t="s">
        <v>7657</v>
      </c>
      <c r="E3750" s="435"/>
    </row>
    <row r="3751" spans="4:5">
      <c r="D3751" s="434" t="s">
        <v>7658</v>
      </c>
      <c r="E3751" s="435" t="s">
        <v>7659</v>
      </c>
    </row>
    <row r="3752" spans="4:5">
      <c r="D3752" s="437" t="s">
        <v>7626</v>
      </c>
      <c r="E3752" s="435"/>
    </row>
    <row r="3753" spans="4:5">
      <c r="D3753" s="434" t="s">
        <v>7660</v>
      </c>
      <c r="E3753" s="435" t="s">
        <v>7661</v>
      </c>
    </row>
    <row r="3754" spans="4:5">
      <c r="D3754" s="437" t="s">
        <v>7662</v>
      </c>
      <c r="E3754" s="435"/>
    </row>
    <row r="3755" spans="4:5">
      <c r="D3755" s="437" t="s">
        <v>7663</v>
      </c>
      <c r="E3755" s="435"/>
    </row>
    <row r="3756" spans="4:5">
      <c r="D3756" s="434" t="s">
        <v>7664</v>
      </c>
      <c r="E3756" s="435" t="s">
        <v>7665</v>
      </c>
    </row>
    <row r="3757" spans="4:5">
      <c r="D3757" s="434" t="s">
        <v>7666</v>
      </c>
      <c r="E3757" s="435" t="s">
        <v>7665</v>
      </c>
    </row>
    <row r="3758" spans="4:5">
      <c r="D3758" s="437" t="s">
        <v>7667</v>
      </c>
      <c r="E3758" s="435"/>
    </row>
    <row r="3759" spans="4:5">
      <c r="D3759" s="437" t="s">
        <v>7668</v>
      </c>
      <c r="E3759" s="435"/>
    </row>
    <row r="3760" spans="4:5">
      <c r="D3760" s="437" t="s">
        <v>7669</v>
      </c>
      <c r="E3760" s="435"/>
    </row>
    <row r="3761" spans="4:5">
      <c r="D3761" s="434" t="s">
        <v>7670</v>
      </c>
      <c r="E3761" s="435" t="s">
        <v>7671</v>
      </c>
    </row>
    <row r="3762" spans="4:5">
      <c r="D3762" s="434" t="s">
        <v>7672</v>
      </c>
      <c r="E3762" s="435" t="s">
        <v>7671</v>
      </c>
    </row>
    <row r="3763" spans="4:5">
      <c r="D3763" s="437" t="s">
        <v>7673</v>
      </c>
      <c r="E3763" s="435"/>
    </row>
    <row r="3764" spans="4:5">
      <c r="D3764" s="437" t="s">
        <v>7674</v>
      </c>
      <c r="E3764" s="435"/>
    </row>
    <row r="3765" spans="4:5">
      <c r="D3765" s="434" t="s">
        <v>7675</v>
      </c>
      <c r="E3765" s="435" t="s">
        <v>7676</v>
      </c>
    </row>
    <row r="3766" spans="4:5">
      <c r="D3766" s="434" t="s">
        <v>7677</v>
      </c>
      <c r="E3766" s="435" t="s">
        <v>7676</v>
      </c>
    </row>
    <row r="3767" spans="4:5">
      <c r="D3767" s="437" t="s">
        <v>7678</v>
      </c>
      <c r="E3767" s="435"/>
    </row>
    <row r="3768" spans="4:5">
      <c r="D3768" s="437" t="s">
        <v>7679</v>
      </c>
      <c r="E3768" s="435"/>
    </row>
    <row r="3769" spans="4:5">
      <c r="D3769" s="437" t="s">
        <v>7680</v>
      </c>
      <c r="E3769" s="435"/>
    </row>
    <row r="3770" spans="4:5">
      <c r="D3770" s="437" t="s">
        <v>7681</v>
      </c>
      <c r="E3770" s="435"/>
    </row>
    <row r="3771" spans="4:5">
      <c r="D3771" s="434" t="s">
        <v>7682</v>
      </c>
      <c r="E3771" s="435" t="s">
        <v>7683</v>
      </c>
    </row>
    <row r="3772" spans="4:5">
      <c r="D3772" s="437" t="s">
        <v>7684</v>
      </c>
      <c r="E3772" s="435"/>
    </row>
    <row r="3773" spans="4:5">
      <c r="D3773" s="437" t="s">
        <v>7685</v>
      </c>
      <c r="E3773" s="435"/>
    </row>
    <row r="3774" spans="4:5">
      <c r="D3774" s="434" t="s">
        <v>7686</v>
      </c>
      <c r="E3774" s="435" t="s">
        <v>7687</v>
      </c>
    </row>
    <row r="3775" spans="4:5">
      <c r="D3775" s="434" t="s">
        <v>7688</v>
      </c>
      <c r="E3775" s="435" t="s">
        <v>7687</v>
      </c>
    </row>
    <row r="3776" spans="4:5">
      <c r="D3776" s="437" t="s">
        <v>7689</v>
      </c>
      <c r="E3776" s="435"/>
    </row>
    <row r="3777" spans="4:5">
      <c r="D3777" s="437" t="s">
        <v>7690</v>
      </c>
      <c r="E3777" s="435"/>
    </row>
    <row r="3778" spans="4:5">
      <c r="D3778" s="437" t="s">
        <v>7691</v>
      </c>
      <c r="E3778" s="435"/>
    </row>
    <row r="3779" spans="4:5">
      <c r="D3779" s="437" t="s">
        <v>7692</v>
      </c>
      <c r="E3779" s="435"/>
    </row>
    <row r="3780" spans="4:5">
      <c r="D3780" s="437" t="s">
        <v>7693</v>
      </c>
      <c r="E3780" s="435"/>
    </row>
    <row r="3781" spans="4:5">
      <c r="D3781" s="437" t="s">
        <v>7694</v>
      </c>
      <c r="E3781" s="435"/>
    </row>
    <row r="3782" spans="4:5">
      <c r="D3782" s="437" t="s">
        <v>7695</v>
      </c>
      <c r="E3782" s="435"/>
    </row>
    <row r="3783" spans="4:5">
      <c r="D3783" s="437" t="s">
        <v>7696</v>
      </c>
      <c r="E3783" s="435"/>
    </row>
    <row r="3784" spans="4:5">
      <c r="D3784" s="437" t="s">
        <v>7697</v>
      </c>
      <c r="E3784" s="435"/>
    </row>
    <row r="3785" spans="4:5">
      <c r="D3785" s="437" t="s">
        <v>7698</v>
      </c>
      <c r="E3785" s="435"/>
    </row>
    <row r="3786" spans="4:5">
      <c r="D3786" s="434" t="s">
        <v>7699</v>
      </c>
      <c r="E3786" s="435" t="s">
        <v>7700</v>
      </c>
    </row>
    <row r="3787" spans="4:5">
      <c r="D3787" s="437" t="s">
        <v>7701</v>
      </c>
      <c r="E3787" s="435"/>
    </row>
    <row r="3788" spans="4:5">
      <c r="D3788" s="437" t="s">
        <v>7702</v>
      </c>
      <c r="E3788" s="435"/>
    </row>
    <row r="3789" spans="4:5">
      <c r="D3789" s="437" t="s">
        <v>7703</v>
      </c>
      <c r="E3789" s="435"/>
    </row>
    <row r="3790" spans="4:5">
      <c r="D3790" s="437" t="s">
        <v>7704</v>
      </c>
      <c r="E3790" s="435"/>
    </row>
    <row r="3791" spans="4:5">
      <c r="D3791" s="437" t="s">
        <v>7705</v>
      </c>
      <c r="E3791" s="435"/>
    </row>
    <row r="3792" spans="4:5">
      <c r="D3792" s="437" t="s">
        <v>7706</v>
      </c>
      <c r="E3792" s="435"/>
    </row>
    <row r="3793" spans="4:5">
      <c r="D3793" s="434" t="s">
        <v>7707</v>
      </c>
      <c r="E3793" s="435" t="s">
        <v>7708</v>
      </c>
    </row>
    <row r="3794" spans="4:5">
      <c r="D3794" s="437" t="s">
        <v>7709</v>
      </c>
      <c r="E3794" s="435"/>
    </row>
    <row r="3795" spans="4:5">
      <c r="D3795" s="437" t="s">
        <v>7710</v>
      </c>
      <c r="E3795" s="435"/>
    </row>
    <row r="3796" spans="4:5">
      <c r="D3796" s="437" t="s">
        <v>7711</v>
      </c>
      <c r="E3796" s="435"/>
    </row>
    <row r="3797" spans="4:5">
      <c r="D3797" s="434" t="s">
        <v>7712</v>
      </c>
      <c r="E3797" s="435" t="s">
        <v>7713</v>
      </c>
    </row>
    <row r="3798" spans="4:5">
      <c r="D3798" s="437" t="s">
        <v>7714</v>
      </c>
      <c r="E3798" s="435"/>
    </row>
    <row r="3799" spans="4:5">
      <c r="D3799" s="434" t="s">
        <v>7715</v>
      </c>
      <c r="E3799" s="435" t="s">
        <v>7716</v>
      </c>
    </row>
    <row r="3800" spans="4:5">
      <c r="D3800" s="437" t="s">
        <v>7717</v>
      </c>
      <c r="E3800" s="435"/>
    </row>
    <row r="3801" spans="4:5">
      <c r="D3801" s="434" t="s">
        <v>7718</v>
      </c>
      <c r="E3801" s="435" t="s">
        <v>7719</v>
      </c>
    </row>
    <row r="3802" spans="4:5">
      <c r="D3802" s="434" t="s">
        <v>7720</v>
      </c>
      <c r="E3802" s="435" t="s">
        <v>7719</v>
      </c>
    </row>
    <row r="3803" spans="4:5">
      <c r="D3803" s="437" t="s">
        <v>7721</v>
      </c>
      <c r="E3803" s="435"/>
    </row>
    <row r="3804" spans="4:5">
      <c r="D3804" s="434" t="s">
        <v>7722</v>
      </c>
      <c r="E3804" s="435" t="s">
        <v>7719</v>
      </c>
    </row>
    <row r="3805" spans="4:5">
      <c r="D3805" s="437" t="s">
        <v>7723</v>
      </c>
      <c r="E3805" s="435"/>
    </row>
    <row r="3806" spans="4:5">
      <c r="D3806" s="437" t="s">
        <v>7724</v>
      </c>
      <c r="E3806" s="435"/>
    </row>
    <row r="3807" spans="4:5">
      <c r="D3807" s="437" t="s">
        <v>7725</v>
      </c>
      <c r="E3807" s="435"/>
    </row>
    <row r="3808" spans="4:5">
      <c r="D3808" s="434" t="s">
        <v>7726</v>
      </c>
      <c r="E3808" s="435" t="s">
        <v>7727</v>
      </c>
    </row>
    <row r="3809" spans="4:5">
      <c r="D3809" s="437" t="s">
        <v>7728</v>
      </c>
      <c r="E3809" s="435"/>
    </row>
    <row r="3810" spans="4:5">
      <c r="D3810" s="437" t="s">
        <v>7729</v>
      </c>
      <c r="E3810" s="435"/>
    </row>
    <row r="3811" spans="4:5">
      <c r="D3811" s="437" t="s">
        <v>7730</v>
      </c>
      <c r="E3811" s="435"/>
    </row>
    <row r="3812" spans="4:5">
      <c r="D3812" s="434" t="s">
        <v>7731</v>
      </c>
      <c r="E3812" s="435" t="s">
        <v>7732</v>
      </c>
    </row>
    <row r="3813" spans="4:5">
      <c r="D3813" s="437" t="s">
        <v>7733</v>
      </c>
      <c r="E3813" s="435"/>
    </row>
    <row r="3814" spans="4:5">
      <c r="D3814" s="434" t="s">
        <v>7734</v>
      </c>
      <c r="E3814" s="435" t="s">
        <v>7732</v>
      </c>
    </row>
    <row r="3815" spans="4:5">
      <c r="D3815" s="437" t="s">
        <v>7735</v>
      </c>
      <c r="E3815" s="435"/>
    </row>
    <row r="3816" spans="4:5">
      <c r="D3816" s="437" t="s">
        <v>7736</v>
      </c>
      <c r="E3816" s="435"/>
    </row>
    <row r="3817" spans="4:5">
      <c r="D3817" s="437" t="s">
        <v>7737</v>
      </c>
      <c r="E3817" s="435"/>
    </row>
    <row r="3818" spans="4:5">
      <c r="D3818" s="437" t="s">
        <v>7738</v>
      </c>
      <c r="E3818" s="435"/>
    </row>
    <row r="3819" spans="4:5">
      <c r="D3819" s="434" t="s">
        <v>7739</v>
      </c>
      <c r="E3819" s="435" t="s">
        <v>7740</v>
      </c>
    </row>
    <row r="3820" spans="4:5">
      <c r="D3820" s="434" t="s">
        <v>7741</v>
      </c>
      <c r="E3820" s="435" t="s">
        <v>7740</v>
      </c>
    </row>
    <row r="3821" spans="4:5">
      <c r="D3821" s="434" t="s">
        <v>7742</v>
      </c>
      <c r="E3821" s="435" t="s">
        <v>7743</v>
      </c>
    </row>
    <row r="3822" spans="4:5">
      <c r="D3822" s="434" t="s">
        <v>7744</v>
      </c>
      <c r="E3822" s="435" t="s">
        <v>7745</v>
      </c>
    </row>
    <row r="3823" spans="4:5">
      <c r="D3823" s="437" t="s">
        <v>7746</v>
      </c>
      <c r="E3823" s="435"/>
    </row>
    <row r="3824" spans="4:5">
      <c r="D3824" s="437" t="s">
        <v>7747</v>
      </c>
      <c r="E3824" s="435"/>
    </row>
    <row r="3825" spans="4:5">
      <c r="D3825" s="434" t="s">
        <v>7748</v>
      </c>
      <c r="E3825" s="435" t="s">
        <v>7743</v>
      </c>
    </row>
    <row r="3826" spans="4:5">
      <c r="D3826" s="437" t="s">
        <v>7749</v>
      </c>
      <c r="E3826" s="435"/>
    </row>
    <row r="3827" spans="4:5">
      <c r="D3827" s="437" t="s">
        <v>7750</v>
      </c>
      <c r="E3827" s="435"/>
    </row>
    <row r="3828" spans="4:5">
      <c r="D3828" s="437" t="s">
        <v>7751</v>
      </c>
      <c r="E3828" s="435"/>
    </row>
    <row r="3829" spans="4:5">
      <c r="D3829" s="437" t="s">
        <v>7752</v>
      </c>
      <c r="E3829" s="435"/>
    </row>
    <row r="3830" spans="4:5">
      <c r="D3830" s="437" t="s">
        <v>7753</v>
      </c>
      <c r="E3830" s="435"/>
    </row>
    <row r="3831" spans="4:5">
      <c r="D3831" s="437" t="s">
        <v>7754</v>
      </c>
      <c r="E3831" s="435"/>
    </row>
    <row r="3832" spans="4:5">
      <c r="D3832" s="437" t="s">
        <v>7755</v>
      </c>
      <c r="E3832" s="435"/>
    </row>
    <row r="3833" spans="4:5">
      <c r="D3833" s="437" t="s">
        <v>7756</v>
      </c>
      <c r="E3833" s="435"/>
    </row>
    <row r="3834" spans="4:5">
      <c r="D3834" s="437" t="s">
        <v>7757</v>
      </c>
      <c r="E3834" s="435"/>
    </row>
    <row r="3835" spans="4:5">
      <c r="D3835" s="434" t="s">
        <v>7758</v>
      </c>
      <c r="E3835" s="435" t="s">
        <v>7759</v>
      </c>
    </row>
    <row r="3836" spans="4:5">
      <c r="D3836" s="434" t="s">
        <v>7760</v>
      </c>
      <c r="E3836" s="435" t="s">
        <v>7759</v>
      </c>
    </row>
    <row r="3837" spans="4:5">
      <c r="D3837" s="437" t="s">
        <v>7761</v>
      </c>
      <c r="E3837" s="435"/>
    </row>
    <row r="3838" spans="4:5">
      <c r="D3838" s="434" t="s">
        <v>7762</v>
      </c>
      <c r="E3838" s="435" t="s">
        <v>7763</v>
      </c>
    </row>
    <row r="3839" spans="4:5">
      <c r="D3839" s="437" t="s">
        <v>7764</v>
      </c>
      <c r="E3839" s="435"/>
    </row>
    <row r="3840" spans="4:5">
      <c r="D3840" s="437" t="s">
        <v>7765</v>
      </c>
      <c r="E3840" s="435"/>
    </row>
    <row r="3841" spans="4:5">
      <c r="D3841" s="437" t="s">
        <v>7766</v>
      </c>
      <c r="E3841" s="435"/>
    </row>
    <row r="3842" spans="4:5">
      <c r="D3842" s="437" t="s">
        <v>7767</v>
      </c>
      <c r="E3842" s="435"/>
    </row>
    <row r="3843" spans="4:5">
      <c r="D3843" s="437" t="s">
        <v>7768</v>
      </c>
      <c r="E3843" s="435"/>
    </row>
    <row r="3844" spans="4:5">
      <c r="D3844" s="437" t="s">
        <v>7769</v>
      </c>
      <c r="E3844" s="435"/>
    </row>
    <row r="3845" spans="4:5">
      <c r="D3845" s="437" t="s">
        <v>7770</v>
      </c>
      <c r="E3845" s="435"/>
    </row>
    <row r="3846" spans="4:5">
      <c r="D3846" s="437" t="s">
        <v>7771</v>
      </c>
      <c r="E3846" s="435"/>
    </row>
    <row r="3847" spans="4:5">
      <c r="D3847" s="437" t="s">
        <v>7772</v>
      </c>
      <c r="E3847" s="435"/>
    </row>
    <row r="3848" spans="4:5">
      <c r="D3848" s="437" t="s">
        <v>7773</v>
      </c>
      <c r="E3848" s="435"/>
    </row>
    <row r="3849" spans="4:5">
      <c r="D3849" s="437" t="s">
        <v>7774</v>
      </c>
      <c r="E3849" s="435"/>
    </row>
    <row r="3850" spans="4:5">
      <c r="D3850" s="434" t="s">
        <v>7775</v>
      </c>
      <c r="E3850" s="435" t="s">
        <v>7776</v>
      </c>
    </row>
    <row r="3851" spans="4:5">
      <c r="D3851" s="437" t="s">
        <v>7777</v>
      </c>
      <c r="E3851" s="435"/>
    </row>
    <row r="3852" spans="4:5">
      <c r="D3852" s="437" t="s">
        <v>7778</v>
      </c>
      <c r="E3852" s="435"/>
    </row>
    <row r="3853" spans="4:5">
      <c r="D3853" s="437" t="s">
        <v>7779</v>
      </c>
      <c r="E3853" s="435"/>
    </row>
    <row r="3854" spans="4:5">
      <c r="D3854" s="437" t="s">
        <v>7780</v>
      </c>
      <c r="E3854" s="435"/>
    </row>
    <row r="3855" spans="4:5">
      <c r="D3855" s="437" t="s">
        <v>7781</v>
      </c>
      <c r="E3855" s="435"/>
    </row>
    <row r="3856" spans="4:5">
      <c r="D3856" s="437" t="s">
        <v>7782</v>
      </c>
      <c r="E3856" s="435"/>
    </row>
    <row r="3857" spans="4:5">
      <c r="D3857" s="434" t="s">
        <v>7783</v>
      </c>
      <c r="E3857" s="435" t="s">
        <v>7784</v>
      </c>
    </row>
    <row r="3858" spans="4:5">
      <c r="D3858" s="434" t="s">
        <v>7785</v>
      </c>
      <c r="E3858" s="435" t="s">
        <v>7784</v>
      </c>
    </row>
    <row r="3859" spans="4:5">
      <c r="D3859" s="437" t="s">
        <v>7786</v>
      </c>
      <c r="E3859" s="435"/>
    </row>
    <row r="3860" spans="4:5">
      <c r="D3860" s="434" t="s">
        <v>1078</v>
      </c>
      <c r="E3860" s="435" t="s">
        <v>7787</v>
      </c>
    </row>
    <row r="3861" spans="4:5">
      <c r="D3861" s="434" t="s">
        <v>7788</v>
      </c>
      <c r="E3861" s="435" t="s">
        <v>7789</v>
      </c>
    </row>
    <row r="3862" spans="4:5">
      <c r="D3862" s="437" t="s">
        <v>7790</v>
      </c>
      <c r="E3862" s="435"/>
    </row>
    <row r="3863" spans="4:5">
      <c r="D3863" s="437" t="s">
        <v>7791</v>
      </c>
      <c r="E3863" s="435"/>
    </row>
    <row r="3864" spans="4:5">
      <c r="D3864" s="437" t="s">
        <v>7792</v>
      </c>
      <c r="E3864" s="435"/>
    </row>
    <row r="3865" spans="4:5">
      <c r="D3865" s="437" t="s">
        <v>7793</v>
      </c>
      <c r="E3865" s="435"/>
    </row>
    <row r="3866" spans="4:5">
      <c r="D3866" s="437" t="s">
        <v>7794</v>
      </c>
      <c r="E3866" s="435"/>
    </row>
    <row r="3867" spans="4:5">
      <c r="D3867" s="437" t="s">
        <v>7795</v>
      </c>
      <c r="E3867" s="435"/>
    </row>
    <row r="3868" spans="4:5">
      <c r="D3868" s="437" t="s">
        <v>7796</v>
      </c>
      <c r="E3868" s="435"/>
    </row>
    <row r="3869" spans="4:5">
      <c r="D3869" s="437" t="s">
        <v>7797</v>
      </c>
      <c r="E3869" s="435"/>
    </row>
    <row r="3870" spans="4:5">
      <c r="D3870" s="437" t="s">
        <v>7798</v>
      </c>
      <c r="E3870" s="435"/>
    </row>
    <row r="3871" spans="4:5">
      <c r="D3871" s="437" t="s">
        <v>7799</v>
      </c>
      <c r="E3871" s="435"/>
    </row>
    <row r="3872" spans="4:5">
      <c r="D3872" s="434" t="s">
        <v>7800</v>
      </c>
      <c r="E3872" s="435" t="s">
        <v>7801</v>
      </c>
    </row>
    <row r="3873" spans="4:5">
      <c r="D3873" s="437" t="s">
        <v>7802</v>
      </c>
      <c r="E3873" s="435"/>
    </row>
    <row r="3874" spans="4:5">
      <c r="D3874" s="437" t="s">
        <v>7803</v>
      </c>
      <c r="E3874" s="435"/>
    </row>
    <row r="3875" spans="4:5">
      <c r="D3875" s="434" t="s">
        <v>7804</v>
      </c>
      <c r="E3875" s="435" t="s">
        <v>7805</v>
      </c>
    </row>
    <row r="3876" spans="4:5">
      <c r="D3876" s="434" t="s">
        <v>7806</v>
      </c>
      <c r="E3876" s="435" t="s">
        <v>7805</v>
      </c>
    </row>
    <row r="3877" spans="4:5">
      <c r="D3877" s="437" t="s">
        <v>7807</v>
      </c>
      <c r="E3877" s="435"/>
    </row>
    <row r="3878" spans="4:5">
      <c r="D3878" s="437" t="s">
        <v>7808</v>
      </c>
      <c r="E3878" s="435"/>
    </row>
    <row r="3879" spans="4:5">
      <c r="D3879" s="434" t="s">
        <v>7809</v>
      </c>
      <c r="E3879" s="435" t="s">
        <v>7810</v>
      </c>
    </row>
    <row r="3880" spans="4:5">
      <c r="D3880" s="437" t="s">
        <v>7811</v>
      </c>
      <c r="E3880" s="435"/>
    </row>
    <row r="3881" spans="4:5">
      <c r="D3881" s="434" t="s">
        <v>7812</v>
      </c>
      <c r="E3881" s="435" t="s">
        <v>7813</v>
      </c>
    </row>
    <row r="3882" spans="4:5">
      <c r="D3882" s="437" t="s">
        <v>7814</v>
      </c>
      <c r="E3882" s="435"/>
    </row>
    <row r="3883" spans="4:5">
      <c r="D3883" s="437" t="s">
        <v>7815</v>
      </c>
      <c r="E3883" s="435"/>
    </row>
    <row r="3884" spans="4:5">
      <c r="D3884" s="437" t="s">
        <v>7816</v>
      </c>
      <c r="E3884" s="435"/>
    </row>
    <row r="3885" spans="4:5">
      <c r="D3885" s="434" t="s">
        <v>7817</v>
      </c>
      <c r="E3885" s="435" t="s">
        <v>7818</v>
      </c>
    </row>
    <row r="3886" spans="4:5">
      <c r="D3886" s="437" t="s">
        <v>7819</v>
      </c>
      <c r="E3886" s="435"/>
    </row>
    <row r="3887" spans="4:5">
      <c r="D3887" s="437" t="s">
        <v>7820</v>
      </c>
      <c r="E3887" s="435"/>
    </row>
    <row r="3888" spans="4:5">
      <c r="D3888" s="437" t="s">
        <v>7821</v>
      </c>
      <c r="E3888" s="435"/>
    </row>
    <row r="3889" spans="4:5">
      <c r="D3889" s="437" t="s">
        <v>7822</v>
      </c>
      <c r="E3889" s="435"/>
    </row>
    <row r="3890" spans="4:5">
      <c r="D3890" s="437" t="s">
        <v>7823</v>
      </c>
      <c r="E3890" s="435"/>
    </row>
    <row r="3891" spans="4:5">
      <c r="D3891" s="434" t="s">
        <v>7824</v>
      </c>
      <c r="E3891" s="435" t="s">
        <v>7825</v>
      </c>
    </row>
    <row r="3892" spans="4:5">
      <c r="D3892" s="434" t="s">
        <v>7826</v>
      </c>
      <c r="E3892" s="435" t="s">
        <v>7827</v>
      </c>
    </row>
    <row r="3893" spans="4:5">
      <c r="D3893" s="437" t="s">
        <v>7828</v>
      </c>
      <c r="E3893" s="435"/>
    </row>
    <row r="3894" spans="4:5">
      <c r="D3894" s="437" t="s">
        <v>7829</v>
      </c>
      <c r="E3894" s="435"/>
    </row>
    <row r="3895" spans="4:5">
      <c r="D3895" s="437" t="s">
        <v>7830</v>
      </c>
      <c r="E3895" s="435"/>
    </row>
    <row r="3896" spans="4:5">
      <c r="D3896" s="437" t="s">
        <v>7831</v>
      </c>
      <c r="E3896" s="435"/>
    </row>
    <row r="3897" spans="4:5">
      <c r="D3897" s="437" t="s">
        <v>7832</v>
      </c>
      <c r="E3897" s="435"/>
    </row>
    <row r="3898" spans="4:5">
      <c r="D3898" s="437" t="s">
        <v>7833</v>
      </c>
      <c r="E3898" s="435"/>
    </row>
    <row r="3899" spans="4:5">
      <c r="D3899" s="434" t="s">
        <v>7834</v>
      </c>
      <c r="E3899" s="435" t="s">
        <v>7835</v>
      </c>
    </row>
    <row r="3900" spans="4:5">
      <c r="D3900" s="437" t="s">
        <v>7836</v>
      </c>
      <c r="E3900" s="435"/>
    </row>
    <row r="3901" spans="4:5">
      <c r="D3901" s="437" t="s">
        <v>7837</v>
      </c>
      <c r="E3901" s="435"/>
    </row>
    <row r="3902" spans="4:5">
      <c r="D3902" s="437" t="s">
        <v>7838</v>
      </c>
      <c r="E3902" s="435"/>
    </row>
    <row r="3903" spans="4:5">
      <c r="D3903" s="437" t="s">
        <v>7839</v>
      </c>
      <c r="E3903" s="435"/>
    </row>
    <row r="3904" spans="4:5">
      <c r="D3904" s="437" t="s">
        <v>7840</v>
      </c>
      <c r="E3904" s="435"/>
    </row>
    <row r="3905" spans="4:5">
      <c r="D3905" s="437" t="s">
        <v>7841</v>
      </c>
      <c r="E3905" s="435"/>
    </row>
    <row r="3906" spans="4:5">
      <c r="D3906" s="437" t="s">
        <v>7842</v>
      </c>
      <c r="E3906" s="435"/>
    </row>
    <row r="3907" spans="4:5">
      <c r="D3907" s="434" t="s">
        <v>7843</v>
      </c>
      <c r="E3907" s="435" t="s">
        <v>7844</v>
      </c>
    </row>
    <row r="3908" spans="4:5">
      <c r="D3908" s="437" t="s">
        <v>7845</v>
      </c>
      <c r="E3908" s="435"/>
    </row>
    <row r="3909" spans="4:5">
      <c r="D3909" s="437" t="s">
        <v>7846</v>
      </c>
      <c r="E3909" s="435"/>
    </row>
    <row r="3910" spans="4:5">
      <c r="D3910" s="434" t="s">
        <v>7847</v>
      </c>
      <c r="E3910" s="435" t="s">
        <v>7848</v>
      </c>
    </row>
    <row r="3911" spans="4:5">
      <c r="D3911" s="437" t="s">
        <v>7849</v>
      </c>
      <c r="E3911" s="435"/>
    </row>
    <row r="3912" spans="4:5">
      <c r="D3912" s="434" t="s">
        <v>7850</v>
      </c>
      <c r="E3912" s="435" t="s">
        <v>7851</v>
      </c>
    </row>
    <row r="3913" spans="4:5">
      <c r="D3913" s="437" t="s">
        <v>7852</v>
      </c>
      <c r="E3913" s="435"/>
    </row>
    <row r="3914" spans="4:5">
      <c r="D3914" s="437" t="s">
        <v>7853</v>
      </c>
      <c r="E3914" s="435"/>
    </row>
    <row r="3915" spans="4:5">
      <c r="D3915" s="437" t="s">
        <v>7854</v>
      </c>
      <c r="E3915" s="435"/>
    </row>
    <row r="3916" spans="4:5">
      <c r="D3916" s="437" t="s">
        <v>7855</v>
      </c>
      <c r="E3916" s="435"/>
    </row>
    <row r="3917" spans="4:5">
      <c r="D3917" s="437" t="s">
        <v>7856</v>
      </c>
      <c r="E3917" s="435"/>
    </row>
    <row r="3918" spans="4:5">
      <c r="D3918" s="437" t="s">
        <v>7857</v>
      </c>
      <c r="E3918" s="435"/>
    </row>
    <row r="3919" spans="4:5">
      <c r="D3919" s="437" t="s">
        <v>7858</v>
      </c>
      <c r="E3919" s="435"/>
    </row>
    <row r="3920" spans="4:5">
      <c r="D3920" s="437" t="s">
        <v>7859</v>
      </c>
      <c r="E3920" s="435"/>
    </row>
    <row r="3921" spans="4:5">
      <c r="D3921" s="437" t="s">
        <v>7860</v>
      </c>
      <c r="E3921" s="435"/>
    </row>
    <row r="3922" spans="4:5">
      <c r="D3922" s="437" t="s">
        <v>7861</v>
      </c>
      <c r="E3922" s="435"/>
    </row>
    <row r="3923" spans="4:5">
      <c r="D3923" s="434" t="s">
        <v>7862</v>
      </c>
      <c r="E3923" s="435" t="s">
        <v>7863</v>
      </c>
    </row>
    <row r="3924" spans="4:5">
      <c r="D3924" s="434" t="s">
        <v>7864</v>
      </c>
      <c r="E3924" s="435" t="s">
        <v>7863</v>
      </c>
    </row>
    <row r="3925" spans="4:5">
      <c r="D3925" s="437" t="s">
        <v>7865</v>
      </c>
      <c r="E3925" s="435"/>
    </row>
    <row r="3926" spans="4:5">
      <c r="D3926" s="437" t="s">
        <v>7866</v>
      </c>
      <c r="E3926" s="435"/>
    </row>
    <row r="3927" spans="4:5">
      <c r="D3927" s="437" t="s">
        <v>7867</v>
      </c>
      <c r="E3927" s="435"/>
    </row>
    <row r="3928" spans="4:5">
      <c r="D3928" s="434" t="s">
        <v>7868</v>
      </c>
      <c r="E3928" s="435" t="s">
        <v>7863</v>
      </c>
    </row>
    <row r="3929" spans="4:5">
      <c r="D3929" s="437" t="s">
        <v>7869</v>
      </c>
      <c r="E3929" s="435"/>
    </row>
    <row r="3930" spans="4:5">
      <c r="D3930" s="437" t="s">
        <v>7870</v>
      </c>
      <c r="E3930" s="435"/>
    </row>
    <row r="3931" spans="4:5">
      <c r="D3931" s="437" t="s">
        <v>7871</v>
      </c>
      <c r="E3931" s="435"/>
    </row>
    <row r="3932" spans="4:5">
      <c r="D3932" s="437" t="s">
        <v>7872</v>
      </c>
      <c r="E3932" s="435"/>
    </row>
    <row r="3933" spans="4:5">
      <c r="D3933" s="437" t="s">
        <v>729</v>
      </c>
      <c r="E3933" s="435"/>
    </row>
    <row r="3934" spans="4:5">
      <c r="D3934" s="437" t="s">
        <v>7873</v>
      </c>
      <c r="E3934" s="435"/>
    </row>
    <row r="3935" spans="4:5">
      <c r="D3935" s="437" t="s">
        <v>7874</v>
      </c>
      <c r="E3935" s="435"/>
    </row>
    <row r="3936" spans="4:5">
      <c r="D3936" s="434" t="s">
        <v>7875</v>
      </c>
      <c r="E3936" s="435" t="s">
        <v>7876</v>
      </c>
    </row>
    <row r="3937" spans="4:5">
      <c r="D3937" s="437" t="s">
        <v>7877</v>
      </c>
      <c r="E3937" s="435"/>
    </row>
    <row r="3938" spans="4:5">
      <c r="D3938" s="437" t="s">
        <v>7878</v>
      </c>
      <c r="E3938" s="435"/>
    </row>
    <row r="3939" spans="4:5">
      <c r="D3939" s="437" t="s">
        <v>7879</v>
      </c>
      <c r="E3939" s="435"/>
    </row>
    <row r="3940" spans="4:5">
      <c r="D3940" s="437" t="s">
        <v>7880</v>
      </c>
      <c r="E3940" s="435"/>
    </row>
    <row r="3941" spans="4:5">
      <c r="D3941" s="437" t="s">
        <v>7881</v>
      </c>
      <c r="E3941" s="435"/>
    </row>
    <row r="3942" spans="4:5">
      <c r="D3942" s="437" t="s">
        <v>7882</v>
      </c>
      <c r="E3942" s="435"/>
    </row>
    <row r="3943" spans="4:5">
      <c r="D3943" s="437" t="s">
        <v>7883</v>
      </c>
      <c r="E3943" s="435"/>
    </row>
    <row r="3944" spans="4:5">
      <c r="D3944" s="437" t="s">
        <v>7884</v>
      </c>
      <c r="E3944" s="435"/>
    </row>
    <row r="3945" spans="4:5">
      <c r="D3945" s="437" t="s">
        <v>7885</v>
      </c>
      <c r="E3945" s="435"/>
    </row>
    <row r="3946" spans="4:5">
      <c r="D3946" s="437" t="s">
        <v>7886</v>
      </c>
      <c r="E3946" s="435"/>
    </row>
    <row r="3947" spans="4:5">
      <c r="D3947" s="437" t="s">
        <v>7887</v>
      </c>
      <c r="E3947" s="435"/>
    </row>
    <row r="3948" spans="4:5">
      <c r="D3948" s="434" t="s">
        <v>7888</v>
      </c>
      <c r="E3948" s="435" t="s">
        <v>7889</v>
      </c>
    </row>
    <row r="3949" spans="4:5">
      <c r="D3949" s="437" t="s">
        <v>7890</v>
      </c>
      <c r="E3949" s="435"/>
    </row>
    <row r="3950" spans="4:5">
      <c r="D3950" s="434" t="s">
        <v>7891</v>
      </c>
      <c r="E3950" s="435" t="s">
        <v>7892</v>
      </c>
    </row>
    <row r="3951" spans="4:5">
      <c r="D3951" s="434" t="s">
        <v>7893</v>
      </c>
      <c r="E3951" s="435" t="s">
        <v>7894</v>
      </c>
    </row>
    <row r="3952" spans="4:5">
      <c r="D3952" s="434" t="s">
        <v>7895</v>
      </c>
      <c r="E3952" s="435" t="s">
        <v>7894</v>
      </c>
    </row>
    <row r="3953" spans="4:5">
      <c r="D3953" s="437" t="s">
        <v>7896</v>
      </c>
      <c r="E3953" s="435"/>
    </row>
    <row r="3954" spans="4:5">
      <c r="D3954" s="437" t="s">
        <v>7897</v>
      </c>
      <c r="E3954" s="435"/>
    </row>
    <row r="3955" spans="4:5">
      <c r="D3955" s="434" t="s">
        <v>7898</v>
      </c>
      <c r="E3955" s="435" t="s">
        <v>7899</v>
      </c>
    </row>
    <row r="3956" spans="4:5">
      <c r="D3956" s="437" t="s">
        <v>7900</v>
      </c>
      <c r="E3956" s="435"/>
    </row>
    <row r="3957" spans="4:5">
      <c r="D3957" s="434" t="s">
        <v>7901</v>
      </c>
      <c r="E3957" s="435" t="s">
        <v>7902</v>
      </c>
    </row>
    <row r="3958" spans="4:5">
      <c r="D3958" s="434" t="s">
        <v>7903</v>
      </c>
      <c r="E3958" s="435" t="s">
        <v>7902</v>
      </c>
    </row>
    <row r="3959" spans="4:5">
      <c r="D3959" s="437" t="s">
        <v>7904</v>
      </c>
      <c r="E3959" s="435"/>
    </row>
    <row r="3960" spans="4:5">
      <c r="D3960" s="434" t="s">
        <v>7905</v>
      </c>
      <c r="E3960" s="435" t="s">
        <v>7902</v>
      </c>
    </row>
    <row r="3961" spans="4:5">
      <c r="D3961" s="437" t="s">
        <v>7906</v>
      </c>
      <c r="E3961" s="435"/>
    </row>
    <row r="3962" spans="4:5">
      <c r="D3962" s="437" t="s">
        <v>7907</v>
      </c>
      <c r="E3962" s="435"/>
    </row>
    <row r="3963" spans="4:5">
      <c r="D3963" s="434" t="s">
        <v>7908</v>
      </c>
      <c r="E3963" s="435" t="s">
        <v>7909</v>
      </c>
    </row>
    <row r="3964" spans="4:5">
      <c r="D3964" s="434" t="s">
        <v>7910</v>
      </c>
      <c r="E3964" s="435" t="s">
        <v>7909</v>
      </c>
    </row>
    <row r="3965" spans="4:5">
      <c r="D3965" s="437" t="s">
        <v>7911</v>
      </c>
      <c r="E3965" s="435"/>
    </row>
    <row r="3966" spans="4:5">
      <c r="D3966" s="437" t="s">
        <v>7912</v>
      </c>
      <c r="E3966" s="435"/>
    </row>
    <row r="3967" spans="4:5">
      <c r="D3967" s="437" t="s">
        <v>7913</v>
      </c>
      <c r="E3967" s="435"/>
    </row>
    <row r="3968" spans="4:5">
      <c r="D3968" s="437" t="s">
        <v>7914</v>
      </c>
      <c r="E3968" s="435"/>
    </row>
    <row r="3969" spans="4:5">
      <c r="D3969" s="437" t="s">
        <v>7915</v>
      </c>
      <c r="E3969" s="435"/>
    </row>
    <row r="3970" spans="4:5">
      <c r="D3970" s="437" t="s">
        <v>7881</v>
      </c>
      <c r="E3970" s="435"/>
    </row>
    <row r="3971" spans="4:5">
      <c r="D3971" s="437" t="s">
        <v>7916</v>
      </c>
      <c r="E3971" s="435"/>
    </row>
    <row r="3972" spans="4:5">
      <c r="D3972" s="437" t="s">
        <v>7917</v>
      </c>
      <c r="E3972" s="435"/>
    </row>
    <row r="3973" spans="4:5">
      <c r="D3973" s="437" t="s">
        <v>7918</v>
      </c>
      <c r="E3973" s="435"/>
    </row>
    <row r="3974" spans="4:5">
      <c r="D3974" s="437" t="s">
        <v>7919</v>
      </c>
      <c r="E3974" s="435"/>
    </row>
    <row r="3975" spans="4:5">
      <c r="D3975" s="437" t="s">
        <v>7920</v>
      </c>
      <c r="E3975" s="435"/>
    </row>
    <row r="3976" spans="4:5">
      <c r="D3976" s="437" t="s">
        <v>7921</v>
      </c>
      <c r="E3976" s="435"/>
    </row>
    <row r="3977" spans="4:5">
      <c r="D3977" s="437" t="s">
        <v>7922</v>
      </c>
      <c r="E3977" s="435"/>
    </row>
    <row r="3978" spans="4:5">
      <c r="D3978" s="434" t="s">
        <v>7923</v>
      </c>
      <c r="E3978" s="435" t="s">
        <v>7924</v>
      </c>
    </row>
    <row r="3979" spans="4:5">
      <c r="D3979" s="437" t="s">
        <v>7925</v>
      </c>
      <c r="E3979" s="435"/>
    </row>
    <row r="3980" spans="4:5">
      <c r="D3980" s="437" t="s">
        <v>7926</v>
      </c>
      <c r="E3980" s="435"/>
    </row>
    <row r="3981" spans="4:5">
      <c r="D3981" s="437" t="s">
        <v>7927</v>
      </c>
      <c r="E3981" s="435"/>
    </row>
    <row r="3982" spans="4:5">
      <c r="D3982" s="437" t="s">
        <v>7928</v>
      </c>
      <c r="E3982" s="435"/>
    </row>
    <row r="3983" spans="4:5">
      <c r="D3983" s="437" t="s">
        <v>7929</v>
      </c>
      <c r="E3983" s="435"/>
    </row>
    <row r="3984" spans="4:5">
      <c r="D3984" s="437" t="s">
        <v>7930</v>
      </c>
      <c r="E3984" s="435"/>
    </row>
    <row r="3985" spans="4:5">
      <c r="D3985" s="434" t="s">
        <v>7931</v>
      </c>
      <c r="E3985" s="435" t="s">
        <v>7932</v>
      </c>
    </row>
    <row r="3986" spans="4:5">
      <c r="D3986" s="437" t="s">
        <v>7933</v>
      </c>
      <c r="E3986" s="435"/>
    </row>
    <row r="3987" spans="4:5">
      <c r="D3987" s="437" t="s">
        <v>7934</v>
      </c>
      <c r="E3987" s="435"/>
    </row>
    <row r="3988" spans="4:5">
      <c r="D3988" s="434" t="s">
        <v>7935</v>
      </c>
      <c r="E3988" s="435" t="s">
        <v>7936</v>
      </c>
    </row>
    <row r="3989" spans="4:5">
      <c r="D3989" s="437" t="s">
        <v>7937</v>
      </c>
      <c r="E3989" s="435"/>
    </row>
    <row r="3990" spans="4:5">
      <c r="D3990" s="437" t="s">
        <v>7938</v>
      </c>
      <c r="E3990" s="435"/>
    </row>
    <row r="3991" spans="4:5">
      <c r="D3991" s="437" t="s">
        <v>7939</v>
      </c>
      <c r="E3991" s="435"/>
    </row>
    <row r="3992" spans="4:5">
      <c r="D3992" s="434" t="s">
        <v>7940</v>
      </c>
      <c r="E3992" s="435" t="s">
        <v>7941</v>
      </c>
    </row>
    <row r="3993" spans="4:5">
      <c r="D3993" s="434" t="s">
        <v>7942</v>
      </c>
      <c r="E3993" s="435" t="s">
        <v>7943</v>
      </c>
    </row>
    <row r="3994" spans="4:5">
      <c r="D3994" s="437" t="s">
        <v>7944</v>
      </c>
      <c r="E3994" s="435"/>
    </row>
    <row r="3995" spans="4:5">
      <c r="D3995" s="437" t="s">
        <v>7945</v>
      </c>
      <c r="E3995" s="435"/>
    </row>
    <row r="3996" spans="4:5">
      <c r="D3996" s="437" t="s">
        <v>7946</v>
      </c>
      <c r="E3996" s="435"/>
    </row>
    <row r="3997" spans="4:5">
      <c r="D3997" s="437" t="s">
        <v>7947</v>
      </c>
      <c r="E3997" s="435"/>
    </row>
    <row r="3998" spans="4:5">
      <c r="D3998" s="437" t="s">
        <v>7948</v>
      </c>
      <c r="E3998" s="435"/>
    </row>
    <row r="3999" spans="4:5">
      <c r="D3999" s="437" t="s">
        <v>7949</v>
      </c>
      <c r="E3999" s="435"/>
    </row>
    <row r="4000" spans="4:5">
      <c r="D4000" s="437" t="s">
        <v>7950</v>
      </c>
      <c r="E4000" s="435"/>
    </row>
    <row r="4001" spans="4:5">
      <c r="D4001" s="437" t="s">
        <v>7951</v>
      </c>
      <c r="E4001" s="435"/>
    </row>
    <row r="4002" spans="4:5">
      <c r="D4002" s="437" t="s">
        <v>7952</v>
      </c>
      <c r="E4002" s="435"/>
    </row>
    <row r="4003" spans="4:5">
      <c r="D4003" s="437" t="s">
        <v>7953</v>
      </c>
      <c r="E4003" s="435"/>
    </row>
    <row r="4004" spans="4:5">
      <c r="D4004" s="434" t="s">
        <v>7954</v>
      </c>
      <c r="E4004" s="435" t="s">
        <v>7955</v>
      </c>
    </row>
    <row r="4005" spans="4:5">
      <c r="D4005" s="437" t="s">
        <v>7956</v>
      </c>
      <c r="E4005" s="435"/>
    </row>
    <row r="4006" spans="4:5">
      <c r="D4006" s="437" t="s">
        <v>7957</v>
      </c>
      <c r="E4006" s="435"/>
    </row>
    <row r="4007" spans="4:5">
      <c r="D4007" s="437" t="s">
        <v>7958</v>
      </c>
      <c r="E4007" s="435"/>
    </row>
    <row r="4008" spans="4:5">
      <c r="D4008" s="437" t="s">
        <v>7959</v>
      </c>
      <c r="E4008" s="435"/>
    </row>
    <row r="4009" spans="4:5">
      <c r="D4009" s="437" t="s">
        <v>7960</v>
      </c>
      <c r="E4009" s="435"/>
    </row>
    <row r="4010" spans="4:5">
      <c r="D4010" s="434" t="s">
        <v>7961</v>
      </c>
      <c r="E4010" s="435" t="s">
        <v>7962</v>
      </c>
    </row>
    <row r="4011" spans="4:5">
      <c r="D4011" s="437" t="s">
        <v>7963</v>
      </c>
      <c r="E4011" s="435"/>
    </row>
    <row r="4012" spans="4:5">
      <c r="D4012" s="437" t="s">
        <v>7964</v>
      </c>
      <c r="E4012" s="435"/>
    </row>
    <row r="4013" spans="4:5">
      <c r="D4013" s="434" t="s">
        <v>7965</v>
      </c>
      <c r="E4013" s="435" t="s">
        <v>7966</v>
      </c>
    </row>
    <row r="4014" spans="4:5">
      <c r="D4014" s="437" t="s">
        <v>7967</v>
      </c>
      <c r="E4014" s="435"/>
    </row>
    <row r="4015" spans="4:5">
      <c r="D4015" s="437" t="s">
        <v>7968</v>
      </c>
      <c r="E4015" s="435"/>
    </row>
    <row r="4016" spans="4:5">
      <c r="D4016" s="434" t="s">
        <v>7969</v>
      </c>
      <c r="E4016" s="435" t="s">
        <v>7970</v>
      </c>
    </row>
    <row r="4017" spans="4:5">
      <c r="D4017" s="437" t="s">
        <v>7971</v>
      </c>
      <c r="E4017" s="435"/>
    </row>
    <row r="4018" spans="4:5">
      <c r="D4018" s="437" t="s">
        <v>7972</v>
      </c>
      <c r="E4018" s="435"/>
    </row>
    <row r="4019" spans="4:5">
      <c r="D4019" s="437" t="s">
        <v>7973</v>
      </c>
      <c r="E4019" s="435"/>
    </row>
    <row r="4020" spans="4:5">
      <c r="D4020" s="437" t="s">
        <v>7974</v>
      </c>
      <c r="E4020" s="435"/>
    </row>
    <row r="4021" spans="4:5">
      <c r="D4021" s="434" t="s">
        <v>7975</v>
      </c>
      <c r="E4021" s="435" t="s">
        <v>7976</v>
      </c>
    </row>
    <row r="4022" spans="4:5">
      <c r="D4022" s="434" t="s">
        <v>7977</v>
      </c>
      <c r="E4022" s="435" t="s">
        <v>7976</v>
      </c>
    </row>
    <row r="4023" spans="4:5">
      <c r="D4023" s="437" t="s">
        <v>7978</v>
      </c>
      <c r="E4023" s="435"/>
    </row>
    <row r="4024" spans="4:5">
      <c r="D4024" s="437" t="s">
        <v>7979</v>
      </c>
      <c r="E4024" s="435"/>
    </row>
    <row r="4025" spans="4:5">
      <c r="D4025" s="434" t="s">
        <v>7980</v>
      </c>
      <c r="E4025" s="435" t="s">
        <v>7981</v>
      </c>
    </row>
    <row r="4026" spans="4:5">
      <c r="D4026" s="434" t="s">
        <v>7982</v>
      </c>
      <c r="E4026" s="435" t="s">
        <v>7981</v>
      </c>
    </row>
    <row r="4027" spans="4:5">
      <c r="D4027" s="437" t="s">
        <v>7983</v>
      </c>
      <c r="E4027" s="435"/>
    </row>
    <row r="4028" spans="4:5">
      <c r="D4028" s="437" t="s">
        <v>7984</v>
      </c>
      <c r="E4028" s="435"/>
    </row>
    <row r="4029" spans="4:5">
      <c r="D4029" s="437" t="s">
        <v>7985</v>
      </c>
      <c r="E4029" s="435"/>
    </row>
    <row r="4030" spans="4:5">
      <c r="D4030" s="437" t="s">
        <v>7986</v>
      </c>
      <c r="E4030" s="435"/>
    </row>
    <row r="4031" spans="4:5">
      <c r="D4031" s="437" t="s">
        <v>7987</v>
      </c>
      <c r="E4031" s="435"/>
    </row>
    <row r="4032" spans="4:5">
      <c r="D4032" s="437" t="s">
        <v>7988</v>
      </c>
      <c r="E4032" s="435"/>
    </row>
    <row r="4033" spans="4:5">
      <c r="D4033" s="437" t="s">
        <v>7989</v>
      </c>
      <c r="E4033" s="435"/>
    </row>
    <row r="4034" spans="4:5">
      <c r="D4034" s="437" t="s">
        <v>7990</v>
      </c>
      <c r="E4034" s="435"/>
    </row>
    <row r="4035" spans="4:5">
      <c r="D4035" s="437" t="s">
        <v>7991</v>
      </c>
      <c r="E4035" s="435"/>
    </row>
    <row r="4036" spans="4:5">
      <c r="D4036" s="437" t="s">
        <v>7992</v>
      </c>
      <c r="E4036" s="435"/>
    </row>
    <row r="4037" spans="4:5">
      <c r="D4037" s="437" t="s">
        <v>7993</v>
      </c>
      <c r="E4037" s="435"/>
    </row>
    <row r="4038" spans="4:5">
      <c r="D4038" s="434" t="s">
        <v>7994</v>
      </c>
      <c r="E4038" s="435" t="s">
        <v>7995</v>
      </c>
    </row>
    <row r="4039" spans="4:5">
      <c r="D4039" s="434" t="s">
        <v>7996</v>
      </c>
      <c r="E4039" s="435" t="s">
        <v>7995</v>
      </c>
    </row>
    <row r="4040" spans="4:5">
      <c r="D4040" s="437" t="s">
        <v>7997</v>
      </c>
      <c r="E4040" s="435"/>
    </row>
    <row r="4041" spans="4:5">
      <c r="D4041" s="434" t="s">
        <v>7998</v>
      </c>
      <c r="E4041" s="435" t="s">
        <v>7999</v>
      </c>
    </row>
    <row r="4042" spans="4:5">
      <c r="D4042" s="434" t="s">
        <v>8000</v>
      </c>
      <c r="E4042" s="435" t="s">
        <v>8001</v>
      </c>
    </row>
    <row r="4043" spans="4:5">
      <c r="D4043" s="434" t="s">
        <v>8002</v>
      </c>
      <c r="E4043" s="435" t="s">
        <v>8001</v>
      </c>
    </row>
    <row r="4044" spans="4:5">
      <c r="D4044" s="434" t="s">
        <v>8003</v>
      </c>
      <c r="E4044" s="435" t="s">
        <v>8004</v>
      </c>
    </row>
    <row r="4045" spans="4:5">
      <c r="D4045" s="437" t="s">
        <v>8005</v>
      </c>
      <c r="E4045" s="435"/>
    </row>
    <row r="4046" spans="4:5">
      <c r="D4046" s="437" t="s">
        <v>8006</v>
      </c>
      <c r="E4046" s="435"/>
    </row>
    <row r="4047" spans="4:5">
      <c r="D4047" s="437" t="s">
        <v>8007</v>
      </c>
      <c r="E4047" s="435"/>
    </row>
    <row r="4048" spans="4:5">
      <c r="D4048" s="437" t="s">
        <v>8008</v>
      </c>
      <c r="E4048" s="435"/>
    </row>
    <row r="4049" spans="4:5">
      <c r="D4049" s="437" t="s">
        <v>8009</v>
      </c>
      <c r="E4049" s="435"/>
    </row>
    <row r="4050" spans="4:5">
      <c r="D4050" s="437" t="s">
        <v>8010</v>
      </c>
      <c r="E4050" s="435"/>
    </row>
    <row r="4051" spans="4:5">
      <c r="D4051" s="434" t="s">
        <v>8011</v>
      </c>
      <c r="E4051" s="435" t="s">
        <v>8012</v>
      </c>
    </row>
    <row r="4052" spans="4:5">
      <c r="D4052" s="437" t="s">
        <v>8013</v>
      </c>
      <c r="E4052" s="435"/>
    </row>
    <row r="4053" spans="4:5">
      <c r="D4053" s="437" t="s">
        <v>8014</v>
      </c>
      <c r="E4053" s="435"/>
    </row>
    <row r="4054" spans="4:5">
      <c r="D4054" s="437" t="s">
        <v>8015</v>
      </c>
      <c r="E4054" s="435"/>
    </row>
    <row r="4055" spans="4:5">
      <c r="D4055" s="437" t="s">
        <v>8016</v>
      </c>
      <c r="E4055" s="435"/>
    </row>
    <row r="4056" spans="4:5">
      <c r="D4056" s="434" t="s">
        <v>8017</v>
      </c>
      <c r="E4056" s="435" t="s">
        <v>8018</v>
      </c>
    </row>
    <row r="4057" spans="4:5">
      <c r="D4057" s="437" t="s">
        <v>8019</v>
      </c>
      <c r="E4057" s="435"/>
    </row>
    <row r="4058" spans="4:5">
      <c r="D4058" s="437" t="s">
        <v>8020</v>
      </c>
      <c r="E4058" s="435"/>
    </row>
    <row r="4059" spans="4:5">
      <c r="D4059" s="437" t="s">
        <v>8021</v>
      </c>
      <c r="E4059" s="435"/>
    </row>
    <row r="4060" spans="4:5">
      <c r="D4060" s="434" t="s">
        <v>8022</v>
      </c>
      <c r="E4060" s="435" t="s">
        <v>8023</v>
      </c>
    </row>
    <row r="4061" spans="4:5">
      <c r="D4061" s="434" t="s">
        <v>8024</v>
      </c>
      <c r="E4061" s="435" t="s">
        <v>8023</v>
      </c>
    </row>
    <row r="4062" spans="4:5">
      <c r="D4062" s="437" t="s">
        <v>8025</v>
      </c>
      <c r="E4062" s="435"/>
    </row>
    <row r="4063" spans="4:5">
      <c r="D4063" s="437" t="s">
        <v>8026</v>
      </c>
      <c r="E4063" s="435"/>
    </row>
    <row r="4064" spans="4:5">
      <c r="D4064" s="437" t="s">
        <v>8027</v>
      </c>
      <c r="E4064" s="435"/>
    </row>
    <row r="4065" spans="4:5">
      <c r="D4065" s="437" t="s">
        <v>8028</v>
      </c>
      <c r="E4065" s="435"/>
    </row>
    <row r="4066" spans="4:5">
      <c r="D4066" s="437" t="s">
        <v>8029</v>
      </c>
      <c r="E4066" s="435"/>
    </row>
    <row r="4067" spans="4:5">
      <c r="D4067" s="437" t="s">
        <v>8030</v>
      </c>
      <c r="E4067" s="435"/>
    </row>
    <row r="4068" spans="4:5">
      <c r="D4068" s="437" t="s">
        <v>8031</v>
      </c>
      <c r="E4068" s="435"/>
    </row>
    <row r="4069" spans="4:5">
      <c r="D4069" s="437" t="s">
        <v>8032</v>
      </c>
      <c r="E4069" s="435"/>
    </row>
    <row r="4070" spans="4:5">
      <c r="D4070" s="434" t="s">
        <v>8033</v>
      </c>
      <c r="E4070" s="435" t="s">
        <v>8034</v>
      </c>
    </row>
    <row r="4071" spans="4:5">
      <c r="D4071" s="437" t="s">
        <v>8035</v>
      </c>
      <c r="E4071" s="435"/>
    </row>
    <row r="4072" spans="4:5">
      <c r="D4072" s="437" t="s">
        <v>8036</v>
      </c>
      <c r="E4072" s="435"/>
    </row>
    <row r="4073" spans="4:5">
      <c r="D4073" s="437" t="s">
        <v>8037</v>
      </c>
      <c r="E4073" s="435"/>
    </row>
    <row r="4074" spans="4:5">
      <c r="D4074" s="437" t="s">
        <v>8038</v>
      </c>
      <c r="E4074" s="435"/>
    </row>
    <row r="4075" spans="4:5">
      <c r="D4075" s="437" t="s">
        <v>8039</v>
      </c>
      <c r="E4075" s="435"/>
    </row>
    <row r="4076" spans="4:5">
      <c r="D4076" s="437" t="s">
        <v>8040</v>
      </c>
      <c r="E4076" s="435"/>
    </row>
    <row r="4077" spans="4:5">
      <c r="D4077" s="434" t="s">
        <v>8041</v>
      </c>
      <c r="E4077" s="435" t="s">
        <v>8042</v>
      </c>
    </row>
    <row r="4078" spans="4:5">
      <c r="D4078" s="434" t="s">
        <v>8043</v>
      </c>
      <c r="E4078" s="435" t="s">
        <v>8042</v>
      </c>
    </row>
    <row r="4079" spans="4:5">
      <c r="D4079" s="437" t="s">
        <v>8019</v>
      </c>
      <c r="E4079" s="435"/>
    </row>
    <row r="4080" spans="4:5">
      <c r="D4080" s="434" t="s">
        <v>8044</v>
      </c>
      <c r="E4080" s="435" t="s">
        <v>8042</v>
      </c>
    </row>
    <row r="4081" spans="4:5">
      <c r="D4081" s="434" t="s">
        <v>8045</v>
      </c>
      <c r="E4081" s="435" t="s">
        <v>8046</v>
      </c>
    </row>
    <row r="4082" spans="4:5">
      <c r="D4082" s="434" t="s">
        <v>8047</v>
      </c>
      <c r="E4082" s="435" t="s">
        <v>8048</v>
      </c>
    </row>
    <row r="4083" spans="4:5">
      <c r="D4083" s="437" t="s">
        <v>8049</v>
      </c>
      <c r="E4083" s="435"/>
    </row>
    <row r="4084" spans="4:5">
      <c r="D4084" s="437" t="s">
        <v>8050</v>
      </c>
      <c r="E4084" s="435"/>
    </row>
    <row r="4085" spans="4:5">
      <c r="D4085" s="437" t="s">
        <v>8051</v>
      </c>
      <c r="E4085" s="435"/>
    </row>
    <row r="4086" spans="4:5">
      <c r="D4086" s="437" t="s">
        <v>8052</v>
      </c>
      <c r="E4086" s="435"/>
    </row>
    <row r="4087" spans="4:5">
      <c r="D4087" s="437" t="s">
        <v>8053</v>
      </c>
      <c r="E4087" s="435"/>
    </row>
    <row r="4088" spans="4:5">
      <c r="D4088" s="437" t="s">
        <v>8054</v>
      </c>
      <c r="E4088" s="435"/>
    </row>
    <row r="4089" spans="4:5">
      <c r="D4089" s="437" t="s">
        <v>8055</v>
      </c>
      <c r="E4089" s="435"/>
    </row>
    <row r="4090" spans="4:5">
      <c r="D4090" s="437" t="s">
        <v>8056</v>
      </c>
      <c r="E4090" s="435"/>
    </row>
    <row r="4091" spans="4:5">
      <c r="D4091" s="437" t="s">
        <v>8057</v>
      </c>
      <c r="E4091" s="435"/>
    </row>
    <row r="4092" spans="4:5">
      <c r="D4092" s="434" t="s">
        <v>8058</v>
      </c>
      <c r="E4092" s="435" t="s">
        <v>8059</v>
      </c>
    </row>
    <row r="4093" spans="4:5">
      <c r="D4093" s="434" t="s">
        <v>8060</v>
      </c>
      <c r="E4093" s="435" t="s">
        <v>8061</v>
      </c>
    </row>
    <row r="4094" spans="4:5">
      <c r="D4094" s="437" t="s">
        <v>8062</v>
      </c>
      <c r="E4094" s="435"/>
    </row>
    <row r="4095" spans="4:5">
      <c r="D4095" s="437" t="s">
        <v>8063</v>
      </c>
      <c r="E4095" s="435"/>
    </row>
    <row r="4096" spans="4:5">
      <c r="D4096" s="434" t="s">
        <v>8064</v>
      </c>
      <c r="E4096" s="435" t="s">
        <v>8065</v>
      </c>
    </row>
    <row r="4097" spans="4:5">
      <c r="D4097" s="437" t="s">
        <v>8066</v>
      </c>
      <c r="E4097" s="435"/>
    </row>
    <row r="4098" spans="4:5">
      <c r="D4098" s="437" t="s">
        <v>8067</v>
      </c>
      <c r="E4098" s="435"/>
    </row>
    <row r="4099" spans="4:5">
      <c r="D4099" s="437" t="s">
        <v>8068</v>
      </c>
      <c r="E4099" s="435"/>
    </row>
    <row r="4100" spans="4:5">
      <c r="D4100" s="437" t="s">
        <v>8069</v>
      </c>
      <c r="E4100" s="435"/>
    </row>
    <row r="4101" spans="4:5">
      <c r="D4101" s="437" t="s">
        <v>8070</v>
      </c>
      <c r="E4101" s="435"/>
    </row>
    <row r="4102" spans="4:5">
      <c r="D4102" s="434" t="s">
        <v>8071</v>
      </c>
      <c r="E4102" s="435" t="s">
        <v>8072</v>
      </c>
    </row>
    <row r="4103" spans="4:5">
      <c r="D4103" s="434" t="s">
        <v>8073</v>
      </c>
      <c r="E4103" s="435" t="s">
        <v>8074</v>
      </c>
    </row>
    <row r="4104" spans="4:5">
      <c r="D4104" s="437" t="s">
        <v>8075</v>
      </c>
      <c r="E4104" s="435"/>
    </row>
    <row r="4105" spans="4:5">
      <c r="D4105" s="434" t="s">
        <v>8076</v>
      </c>
      <c r="E4105" s="435" t="s">
        <v>8077</v>
      </c>
    </row>
    <row r="4106" spans="4:5">
      <c r="D4106" s="437" t="s">
        <v>8078</v>
      </c>
      <c r="E4106" s="435"/>
    </row>
    <row r="4107" spans="4:5">
      <c r="D4107" s="437" t="s">
        <v>8079</v>
      </c>
      <c r="E4107" s="435"/>
    </row>
    <row r="4108" spans="4:5">
      <c r="D4108" s="437" t="s">
        <v>8080</v>
      </c>
      <c r="E4108" s="435"/>
    </row>
    <row r="4109" spans="4:5">
      <c r="D4109" s="434" t="s">
        <v>8081</v>
      </c>
      <c r="E4109" s="435" t="s">
        <v>8082</v>
      </c>
    </row>
    <row r="4110" spans="4:5">
      <c r="D4110" s="437" t="s">
        <v>8083</v>
      </c>
      <c r="E4110" s="435"/>
    </row>
    <row r="4111" spans="4:5">
      <c r="D4111" s="434" t="s">
        <v>8084</v>
      </c>
      <c r="E4111" s="435" t="s">
        <v>8085</v>
      </c>
    </row>
    <row r="4112" spans="4:5">
      <c r="D4112" s="434" t="s">
        <v>8086</v>
      </c>
      <c r="E4112" s="435" t="s">
        <v>8085</v>
      </c>
    </row>
    <row r="4113" spans="4:5">
      <c r="D4113" s="437" t="s">
        <v>8087</v>
      </c>
      <c r="E4113" s="435"/>
    </row>
    <row r="4114" spans="4:5">
      <c r="D4114" s="437" t="s">
        <v>8088</v>
      </c>
      <c r="E4114" s="435"/>
    </row>
    <row r="4115" spans="4:5">
      <c r="D4115" s="437" t="s">
        <v>8089</v>
      </c>
      <c r="E4115" s="435"/>
    </row>
    <row r="4116" spans="4:5">
      <c r="D4116" s="437" t="s">
        <v>8090</v>
      </c>
      <c r="E4116" s="435"/>
    </row>
    <row r="4117" spans="4:5">
      <c r="D4117" s="434" t="s">
        <v>8091</v>
      </c>
      <c r="E4117" s="435" t="s">
        <v>8092</v>
      </c>
    </row>
    <row r="4118" spans="4:5">
      <c r="D4118" s="437" t="s">
        <v>8093</v>
      </c>
      <c r="E4118" s="435"/>
    </row>
    <row r="4119" spans="4:5">
      <c r="D4119" s="434" t="s">
        <v>8094</v>
      </c>
      <c r="E4119" s="435" t="s">
        <v>8095</v>
      </c>
    </row>
    <row r="4120" spans="4:5">
      <c r="D4120" s="437" t="s">
        <v>8096</v>
      </c>
      <c r="E4120" s="435"/>
    </row>
    <row r="4121" spans="4:5">
      <c r="D4121" s="434" t="s">
        <v>8097</v>
      </c>
      <c r="E4121" s="435" t="s">
        <v>8098</v>
      </c>
    </row>
    <row r="4122" spans="4:5">
      <c r="D4122" s="434" t="s">
        <v>8099</v>
      </c>
      <c r="E4122" s="435" t="s">
        <v>8098</v>
      </c>
    </row>
    <row r="4123" spans="4:5">
      <c r="D4123" s="437" t="s">
        <v>8100</v>
      </c>
      <c r="E4123" s="435"/>
    </row>
    <row r="4124" spans="4:5">
      <c r="D4124" s="437" t="s">
        <v>8101</v>
      </c>
      <c r="E4124" s="435"/>
    </row>
    <row r="4125" spans="4:5">
      <c r="D4125" s="434" t="s">
        <v>8102</v>
      </c>
      <c r="E4125" s="435" t="s">
        <v>8103</v>
      </c>
    </row>
    <row r="4126" spans="4:5">
      <c r="D4126" s="437" t="s">
        <v>8104</v>
      </c>
      <c r="E4126" s="435"/>
    </row>
    <row r="4127" spans="4:5">
      <c r="D4127" s="437" t="s">
        <v>8078</v>
      </c>
      <c r="E4127" s="435"/>
    </row>
    <row r="4128" spans="4:5">
      <c r="D4128" s="437" t="s">
        <v>8105</v>
      </c>
      <c r="E4128" s="435"/>
    </row>
    <row r="4129" spans="4:5">
      <c r="D4129" s="437" t="s">
        <v>8106</v>
      </c>
      <c r="E4129" s="435"/>
    </row>
    <row r="4130" spans="4:5">
      <c r="D4130" s="437" t="s">
        <v>8107</v>
      </c>
      <c r="E4130" s="435"/>
    </row>
    <row r="4131" spans="4:5">
      <c r="D4131" s="437" t="s">
        <v>8079</v>
      </c>
      <c r="E4131" s="435"/>
    </row>
    <row r="4132" spans="4:5">
      <c r="D4132" s="437" t="s">
        <v>8108</v>
      </c>
      <c r="E4132" s="435"/>
    </row>
    <row r="4133" spans="4:5">
      <c r="D4133" s="437" t="s">
        <v>8109</v>
      </c>
      <c r="E4133" s="435"/>
    </row>
    <row r="4134" spans="4:5">
      <c r="D4134" s="437" t="s">
        <v>8110</v>
      </c>
      <c r="E4134" s="435"/>
    </row>
    <row r="4135" spans="4:5">
      <c r="D4135" s="437" t="s">
        <v>8111</v>
      </c>
      <c r="E4135" s="435"/>
    </row>
    <row r="4136" spans="4:5">
      <c r="D4136" s="437" t="s">
        <v>8112</v>
      </c>
      <c r="E4136" s="435"/>
    </row>
    <row r="4137" spans="4:5">
      <c r="D4137" s="437" t="s">
        <v>8113</v>
      </c>
      <c r="E4137" s="435"/>
    </row>
    <row r="4138" spans="4:5">
      <c r="D4138" s="434" t="s">
        <v>8114</v>
      </c>
      <c r="E4138" s="435" t="s">
        <v>8115</v>
      </c>
    </row>
    <row r="4139" spans="4:5">
      <c r="D4139" s="434" t="s">
        <v>8116</v>
      </c>
      <c r="E4139" s="435" t="s">
        <v>8117</v>
      </c>
    </row>
    <row r="4140" spans="4:5">
      <c r="D4140" s="437" t="s">
        <v>8118</v>
      </c>
      <c r="E4140" s="435"/>
    </row>
    <row r="4141" spans="4:5">
      <c r="D4141" s="437" t="s">
        <v>8119</v>
      </c>
      <c r="E4141" s="435"/>
    </row>
    <row r="4142" spans="4:5">
      <c r="D4142" s="434" t="s">
        <v>8120</v>
      </c>
      <c r="E4142" s="435" t="s">
        <v>8121</v>
      </c>
    </row>
    <row r="4143" spans="4:5">
      <c r="D4143" s="434" t="s">
        <v>8122</v>
      </c>
      <c r="E4143" s="435" t="s">
        <v>8123</v>
      </c>
    </row>
    <row r="4144" spans="4:5">
      <c r="D4144" s="437" t="s">
        <v>8124</v>
      </c>
      <c r="E4144" s="435"/>
    </row>
    <row r="4145" spans="4:5">
      <c r="D4145" s="437" t="s">
        <v>8125</v>
      </c>
      <c r="E4145" s="435"/>
    </row>
    <row r="4146" spans="4:5">
      <c r="D4146" s="437" t="s">
        <v>8126</v>
      </c>
      <c r="E4146" s="435"/>
    </row>
    <row r="4147" spans="4:5">
      <c r="D4147" s="434" t="s">
        <v>8127</v>
      </c>
      <c r="E4147" s="435" t="s">
        <v>8128</v>
      </c>
    </row>
    <row r="4148" spans="4:5">
      <c r="D4148" s="437" t="s">
        <v>8129</v>
      </c>
      <c r="E4148" s="435"/>
    </row>
    <row r="4149" spans="4:5">
      <c r="D4149" s="434" t="s">
        <v>8130</v>
      </c>
      <c r="E4149" s="435" t="s">
        <v>8131</v>
      </c>
    </row>
    <row r="4150" spans="4:5">
      <c r="D4150" s="437" t="s">
        <v>8132</v>
      </c>
      <c r="E4150" s="435"/>
    </row>
    <row r="4151" spans="4:5">
      <c r="D4151" s="434" t="s">
        <v>8133</v>
      </c>
      <c r="E4151" s="435" t="s">
        <v>8134</v>
      </c>
    </row>
    <row r="4152" spans="4:5">
      <c r="D4152" s="437" t="s">
        <v>8135</v>
      </c>
      <c r="E4152" s="435"/>
    </row>
    <row r="4153" spans="4:5">
      <c r="D4153" s="437" t="s">
        <v>8136</v>
      </c>
      <c r="E4153" s="435"/>
    </row>
    <row r="4154" spans="4:5">
      <c r="D4154" s="434" t="s">
        <v>8137</v>
      </c>
      <c r="E4154" s="435" t="s">
        <v>8138</v>
      </c>
    </row>
    <row r="4155" spans="4:5">
      <c r="D4155" s="434" t="s">
        <v>8139</v>
      </c>
      <c r="E4155" s="435" t="s">
        <v>8138</v>
      </c>
    </row>
    <row r="4156" spans="4:5">
      <c r="D4156" s="437" t="s">
        <v>8140</v>
      </c>
      <c r="E4156" s="435"/>
    </row>
    <row r="4157" spans="4:5">
      <c r="D4157" s="437" t="s">
        <v>8141</v>
      </c>
      <c r="E4157" s="435"/>
    </row>
    <row r="4158" spans="4:5">
      <c r="D4158" s="437" t="s">
        <v>8142</v>
      </c>
      <c r="E4158" s="435"/>
    </row>
    <row r="4159" spans="4:5">
      <c r="D4159" s="434" t="s">
        <v>8143</v>
      </c>
      <c r="E4159" s="435" t="s">
        <v>8138</v>
      </c>
    </row>
    <row r="4160" spans="4:5">
      <c r="D4160" s="434" t="s">
        <v>8144</v>
      </c>
      <c r="E4160" s="435" t="s">
        <v>8145</v>
      </c>
    </row>
    <row r="4161" spans="4:5">
      <c r="D4161" s="437" t="s">
        <v>8146</v>
      </c>
      <c r="E4161" s="435"/>
    </row>
    <row r="4162" spans="4:5">
      <c r="D4162" s="434" t="s">
        <v>8147</v>
      </c>
      <c r="E4162" s="435" t="s">
        <v>8148</v>
      </c>
    </row>
    <row r="4163" spans="4:5">
      <c r="D4163" s="437" t="s">
        <v>8149</v>
      </c>
      <c r="E4163" s="435"/>
    </row>
    <row r="4164" spans="4:5">
      <c r="D4164" s="437" t="s">
        <v>8150</v>
      </c>
      <c r="E4164" s="435"/>
    </row>
    <row r="4165" spans="4:5">
      <c r="D4165" s="434" t="s">
        <v>8151</v>
      </c>
      <c r="E4165" s="435" t="s">
        <v>8152</v>
      </c>
    </row>
    <row r="4166" spans="4:5">
      <c r="D4166" s="434" t="s">
        <v>8153</v>
      </c>
      <c r="E4166" s="435" t="s">
        <v>8154</v>
      </c>
    </row>
    <row r="4167" spans="4:5">
      <c r="D4167" s="437" t="s">
        <v>8155</v>
      </c>
      <c r="E4167" s="435"/>
    </row>
    <row r="4168" spans="4:5">
      <c r="D4168" s="437" t="s">
        <v>8156</v>
      </c>
      <c r="E4168" s="435"/>
    </row>
    <row r="4169" spans="4:5">
      <c r="D4169" s="437" t="s">
        <v>8157</v>
      </c>
      <c r="E4169" s="435"/>
    </row>
    <row r="4170" spans="4:5">
      <c r="D4170" s="437" t="s">
        <v>8158</v>
      </c>
      <c r="E4170" s="435"/>
    </row>
    <row r="4171" spans="4:5">
      <c r="D4171" s="437" t="s">
        <v>8159</v>
      </c>
      <c r="E4171" s="435"/>
    </row>
    <row r="4172" spans="4:5">
      <c r="D4172" s="437" t="s">
        <v>8160</v>
      </c>
      <c r="E4172" s="435"/>
    </row>
    <row r="4173" spans="4:5">
      <c r="D4173" s="434" t="s">
        <v>8161</v>
      </c>
      <c r="E4173" s="435" t="s">
        <v>8162</v>
      </c>
    </row>
    <row r="4174" spans="4:5">
      <c r="D4174" s="434" t="s">
        <v>8163</v>
      </c>
      <c r="E4174" s="435" t="s">
        <v>8162</v>
      </c>
    </row>
    <row r="4175" spans="4:5">
      <c r="D4175" s="437" t="s">
        <v>8164</v>
      </c>
      <c r="E4175" s="435"/>
    </row>
    <row r="4176" spans="4:5">
      <c r="D4176" s="437" t="s">
        <v>8165</v>
      </c>
      <c r="E4176" s="435"/>
    </row>
    <row r="4177" spans="4:5">
      <c r="D4177" s="434" t="s">
        <v>8166</v>
      </c>
      <c r="E4177" s="435" t="s">
        <v>8167</v>
      </c>
    </row>
    <row r="4178" spans="4:5">
      <c r="D4178" s="437" t="s">
        <v>8168</v>
      </c>
      <c r="E4178" s="435"/>
    </row>
    <row r="4179" spans="4:5">
      <c r="D4179" s="437" t="s">
        <v>8169</v>
      </c>
      <c r="E4179" s="435"/>
    </row>
    <row r="4180" spans="4:5">
      <c r="D4180" s="437" t="s">
        <v>8170</v>
      </c>
      <c r="E4180" s="435"/>
    </row>
    <row r="4181" spans="4:5">
      <c r="D4181" s="434" t="s">
        <v>8171</v>
      </c>
      <c r="E4181" s="435" t="s">
        <v>8172</v>
      </c>
    </row>
    <row r="4182" spans="4:5">
      <c r="D4182" s="434" t="s">
        <v>8173</v>
      </c>
      <c r="E4182" s="435" t="s">
        <v>8174</v>
      </c>
    </row>
    <row r="4183" spans="4:5">
      <c r="D4183" s="437" t="s">
        <v>8175</v>
      </c>
      <c r="E4183" s="435"/>
    </row>
    <row r="4184" spans="4:5">
      <c r="D4184" s="437" t="s">
        <v>8176</v>
      </c>
      <c r="E4184" s="435"/>
    </row>
    <row r="4185" spans="4:5">
      <c r="D4185" s="437" t="s">
        <v>8177</v>
      </c>
      <c r="E4185" s="435"/>
    </row>
    <row r="4186" spans="4:5">
      <c r="D4186" s="437" t="s">
        <v>8178</v>
      </c>
      <c r="E4186" s="435"/>
    </row>
    <row r="4187" spans="4:5">
      <c r="D4187" s="434" t="s">
        <v>8179</v>
      </c>
      <c r="E4187" s="435" t="s">
        <v>8180</v>
      </c>
    </row>
    <row r="4188" spans="4:5">
      <c r="D4188" s="434" t="s">
        <v>8181</v>
      </c>
      <c r="E4188" s="435" t="s">
        <v>8180</v>
      </c>
    </row>
    <row r="4189" spans="4:5">
      <c r="D4189" s="434" t="s">
        <v>8182</v>
      </c>
      <c r="E4189" s="435" t="s">
        <v>8183</v>
      </c>
    </row>
    <row r="4190" spans="4:5">
      <c r="D4190" s="434" t="s">
        <v>8184</v>
      </c>
      <c r="E4190" s="435" t="s">
        <v>8183</v>
      </c>
    </row>
    <row r="4191" spans="4:5">
      <c r="D4191" s="434" t="s">
        <v>8185</v>
      </c>
      <c r="E4191" s="435" t="s">
        <v>8186</v>
      </c>
    </row>
    <row r="4192" spans="4:5">
      <c r="D4192" s="437" t="s">
        <v>8187</v>
      </c>
      <c r="E4192" s="435"/>
    </row>
    <row r="4193" spans="4:5">
      <c r="D4193" s="434" t="s">
        <v>8188</v>
      </c>
      <c r="E4193" s="435" t="s">
        <v>8189</v>
      </c>
    </row>
    <row r="4194" spans="4:5">
      <c r="D4194" s="434" t="s">
        <v>8190</v>
      </c>
      <c r="E4194" s="435" t="s">
        <v>8189</v>
      </c>
    </row>
    <row r="4195" spans="4:5">
      <c r="D4195" s="437" t="s">
        <v>8191</v>
      </c>
      <c r="E4195" s="435"/>
    </row>
    <row r="4196" spans="4:5">
      <c r="D4196" s="437" t="s">
        <v>8192</v>
      </c>
      <c r="E4196" s="435"/>
    </row>
    <row r="4197" spans="4:5">
      <c r="D4197" s="437" t="s">
        <v>8193</v>
      </c>
      <c r="E4197" s="435"/>
    </row>
    <row r="4198" spans="4:5">
      <c r="D4198" s="437" t="s">
        <v>8194</v>
      </c>
      <c r="E4198" s="435"/>
    </row>
    <row r="4199" spans="4:5">
      <c r="D4199" s="437" t="s">
        <v>8195</v>
      </c>
      <c r="E4199" s="435"/>
    </row>
    <row r="4200" spans="4:5">
      <c r="D4200" s="437" t="s">
        <v>8196</v>
      </c>
      <c r="E4200" s="435"/>
    </row>
    <row r="4201" spans="4:5">
      <c r="D4201" s="437" t="s">
        <v>8197</v>
      </c>
      <c r="E4201" s="435"/>
    </row>
    <row r="4202" spans="4:5">
      <c r="D4202" s="434" t="s">
        <v>8198</v>
      </c>
      <c r="E4202" s="435" t="s">
        <v>8199</v>
      </c>
    </row>
    <row r="4203" spans="4:5">
      <c r="D4203" s="434" t="s">
        <v>8200</v>
      </c>
      <c r="E4203" s="435" t="s">
        <v>8201</v>
      </c>
    </row>
    <row r="4204" spans="4:5">
      <c r="D4204" s="437" t="s">
        <v>8202</v>
      </c>
      <c r="E4204" s="435"/>
    </row>
    <row r="4205" spans="4:5">
      <c r="D4205" s="437" t="s">
        <v>8203</v>
      </c>
      <c r="E4205" s="435"/>
    </row>
    <row r="4206" spans="4:5">
      <c r="D4206" s="437" t="s">
        <v>8204</v>
      </c>
      <c r="E4206" s="435"/>
    </row>
    <row r="4207" spans="4:5">
      <c r="D4207" s="437" t="s">
        <v>8205</v>
      </c>
      <c r="E4207" s="435"/>
    </row>
    <row r="4208" spans="4:5">
      <c r="D4208" s="434" t="s">
        <v>8206</v>
      </c>
      <c r="E4208" s="435" t="s">
        <v>8199</v>
      </c>
    </row>
    <row r="4209" spans="4:5">
      <c r="D4209" s="434" t="s">
        <v>8207</v>
      </c>
      <c r="E4209" s="435" t="s">
        <v>8208</v>
      </c>
    </row>
    <row r="4210" spans="4:5">
      <c r="D4210" s="437" t="s">
        <v>8209</v>
      </c>
      <c r="E4210" s="435"/>
    </row>
    <row r="4211" spans="4:5">
      <c r="D4211" s="434" t="s">
        <v>8210</v>
      </c>
      <c r="E4211" s="435" t="s">
        <v>8211</v>
      </c>
    </row>
    <row r="4212" spans="4:5">
      <c r="D4212" s="434" t="s">
        <v>8212</v>
      </c>
      <c r="E4212" s="435" t="s">
        <v>8213</v>
      </c>
    </row>
    <row r="4213" spans="4:5">
      <c r="D4213" s="437" t="s">
        <v>8214</v>
      </c>
      <c r="E4213" s="435"/>
    </row>
    <row r="4214" spans="4:5">
      <c r="D4214" s="434" t="s">
        <v>8215</v>
      </c>
      <c r="E4214" s="435" t="s">
        <v>8216</v>
      </c>
    </row>
    <row r="4215" spans="4:5">
      <c r="D4215" s="437" t="s">
        <v>8217</v>
      </c>
      <c r="E4215" s="435"/>
    </row>
    <row r="4216" spans="4:5">
      <c r="D4216" s="437" t="s">
        <v>8218</v>
      </c>
      <c r="E4216" s="435"/>
    </row>
    <row r="4217" spans="4:5">
      <c r="D4217" s="437" t="s">
        <v>8219</v>
      </c>
      <c r="E4217" s="435"/>
    </row>
    <row r="4218" spans="4:5">
      <c r="D4218" s="437" t="s">
        <v>8220</v>
      </c>
      <c r="E4218" s="435"/>
    </row>
    <row r="4219" spans="4:5">
      <c r="D4219" s="437" t="s">
        <v>8221</v>
      </c>
      <c r="E4219" s="435"/>
    </row>
    <row r="4220" spans="4:5">
      <c r="D4220" s="434" t="s">
        <v>8222</v>
      </c>
      <c r="E4220" s="435" t="s">
        <v>8223</v>
      </c>
    </row>
    <row r="4221" spans="4:5">
      <c r="D4221" s="434" t="s">
        <v>8224</v>
      </c>
      <c r="E4221" s="435" t="s">
        <v>8223</v>
      </c>
    </row>
    <row r="4222" spans="4:5">
      <c r="D4222" s="434" t="s">
        <v>621</v>
      </c>
      <c r="E4222" s="435" t="s">
        <v>8225</v>
      </c>
    </row>
    <row r="4223" spans="4:5">
      <c r="D4223" s="437" t="s">
        <v>8226</v>
      </c>
      <c r="E4223" s="435"/>
    </row>
    <row r="4224" spans="4:5">
      <c r="D4224" s="437" t="s">
        <v>8227</v>
      </c>
      <c r="E4224" s="435"/>
    </row>
    <row r="4225" spans="4:5">
      <c r="D4225" s="437" t="s">
        <v>8228</v>
      </c>
      <c r="E4225" s="435"/>
    </row>
    <row r="4226" spans="4:5">
      <c r="D4226" s="437" t="s">
        <v>8229</v>
      </c>
      <c r="E4226" s="435"/>
    </row>
    <row r="4227" spans="4:5">
      <c r="D4227" s="434" t="s">
        <v>8230</v>
      </c>
      <c r="E4227" s="435" t="s">
        <v>8231</v>
      </c>
    </row>
    <row r="4228" spans="4:5">
      <c r="D4228" s="437" t="s">
        <v>8232</v>
      </c>
      <c r="E4228" s="435"/>
    </row>
    <row r="4229" spans="4:5">
      <c r="D4229" s="434" t="s">
        <v>8233</v>
      </c>
      <c r="E4229" s="435" t="s">
        <v>8234</v>
      </c>
    </row>
    <row r="4230" spans="4:5">
      <c r="D4230" s="437" t="s">
        <v>8235</v>
      </c>
      <c r="E4230" s="435"/>
    </row>
    <row r="4231" spans="4:5">
      <c r="D4231" s="437" t="s">
        <v>8236</v>
      </c>
      <c r="E4231" s="435"/>
    </row>
    <row r="4232" spans="4:5">
      <c r="D4232" s="437" t="s">
        <v>8237</v>
      </c>
      <c r="E4232" s="435"/>
    </row>
    <row r="4233" spans="4:5">
      <c r="D4233" s="434" t="s">
        <v>8238</v>
      </c>
      <c r="E4233" s="435" t="s">
        <v>8239</v>
      </c>
    </row>
    <row r="4234" spans="4:5">
      <c r="D4234" s="437" t="s">
        <v>8240</v>
      </c>
      <c r="E4234" s="435"/>
    </row>
    <row r="4235" spans="4:5">
      <c r="D4235" s="434" t="s">
        <v>8241</v>
      </c>
      <c r="E4235" s="435" t="s">
        <v>8242</v>
      </c>
    </row>
    <row r="4236" spans="4:5">
      <c r="D4236" s="434" t="s">
        <v>8243</v>
      </c>
      <c r="E4236" s="435" t="s">
        <v>8244</v>
      </c>
    </row>
    <row r="4237" spans="4:5">
      <c r="D4237" s="437" t="s">
        <v>8245</v>
      </c>
      <c r="E4237" s="435"/>
    </row>
    <row r="4238" spans="4:5">
      <c r="D4238" s="437" t="s">
        <v>8246</v>
      </c>
      <c r="E4238" s="435"/>
    </row>
    <row r="4239" spans="4:5">
      <c r="D4239" s="437" t="s">
        <v>8247</v>
      </c>
      <c r="E4239" s="435"/>
    </row>
    <row r="4240" spans="4:5">
      <c r="D4240" s="434" t="s">
        <v>8248</v>
      </c>
      <c r="E4240" s="435" t="s">
        <v>8249</v>
      </c>
    </row>
    <row r="4241" spans="4:5">
      <c r="D4241" s="437" t="s">
        <v>8250</v>
      </c>
      <c r="E4241" s="435"/>
    </row>
    <row r="4242" spans="4:5">
      <c r="D4242" s="437" t="s">
        <v>8251</v>
      </c>
      <c r="E4242" s="435"/>
    </row>
    <row r="4243" spans="4:5">
      <c r="D4243" s="437" t="s">
        <v>8252</v>
      </c>
      <c r="E4243" s="435"/>
    </row>
    <row r="4244" spans="4:5">
      <c r="D4244" s="437" t="s">
        <v>8253</v>
      </c>
      <c r="E4244" s="435"/>
    </row>
    <row r="4245" spans="4:5">
      <c r="D4245" s="437" t="s">
        <v>8254</v>
      </c>
      <c r="E4245" s="435"/>
    </row>
    <row r="4246" spans="4:5">
      <c r="D4246" s="437" t="s">
        <v>8255</v>
      </c>
      <c r="E4246" s="435"/>
    </row>
    <row r="4247" spans="4:5">
      <c r="D4247" s="434" t="s">
        <v>8256</v>
      </c>
      <c r="E4247" s="435" t="s">
        <v>8257</v>
      </c>
    </row>
    <row r="4248" spans="4:5">
      <c r="D4248" s="434" t="s">
        <v>8258</v>
      </c>
      <c r="E4248" s="435" t="s">
        <v>8259</v>
      </c>
    </row>
    <row r="4249" spans="4:5">
      <c r="D4249" s="437" t="s">
        <v>8260</v>
      </c>
      <c r="E4249" s="435"/>
    </row>
    <row r="4250" spans="4:5">
      <c r="D4250" s="434" t="s">
        <v>8261</v>
      </c>
      <c r="E4250" s="435" t="s">
        <v>8262</v>
      </c>
    </row>
    <row r="4251" spans="4:5">
      <c r="D4251" s="434" t="s">
        <v>8263</v>
      </c>
      <c r="E4251" s="435" t="s">
        <v>8262</v>
      </c>
    </row>
    <row r="4252" spans="4:5">
      <c r="D4252" s="437" t="s">
        <v>8264</v>
      </c>
      <c r="E4252" s="435"/>
    </row>
    <row r="4253" spans="4:5">
      <c r="D4253" s="434" t="s">
        <v>8265</v>
      </c>
      <c r="E4253" s="435" t="s">
        <v>8266</v>
      </c>
    </row>
    <row r="4254" spans="4:5">
      <c r="D4254" s="434" t="s">
        <v>8267</v>
      </c>
      <c r="E4254" s="435" t="s">
        <v>8268</v>
      </c>
    </row>
    <row r="4255" spans="4:5">
      <c r="D4255" s="434" t="s">
        <v>8269</v>
      </c>
      <c r="E4255" s="435" t="s">
        <v>8266</v>
      </c>
    </row>
    <row r="4256" spans="4:5">
      <c r="D4256" s="437" t="s">
        <v>8270</v>
      </c>
      <c r="E4256" s="435"/>
    </row>
    <row r="4257" spans="4:5">
      <c r="D4257" s="434" t="s">
        <v>8271</v>
      </c>
      <c r="E4257" s="435" t="s">
        <v>8266</v>
      </c>
    </row>
    <row r="4258" spans="4:5">
      <c r="D4258" s="434" t="s">
        <v>8272</v>
      </c>
      <c r="E4258" s="435" t="s">
        <v>8273</v>
      </c>
    </row>
    <row r="4259" spans="4:5">
      <c r="D4259" s="434" t="s">
        <v>8274</v>
      </c>
      <c r="E4259" s="435" t="s">
        <v>8273</v>
      </c>
    </row>
    <row r="4260" spans="4:5">
      <c r="D4260" s="434" t="s">
        <v>8275</v>
      </c>
      <c r="E4260" s="435" t="s">
        <v>8276</v>
      </c>
    </row>
    <row r="4261" spans="4:5">
      <c r="D4261" s="434" t="s">
        <v>8277</v>
      </c>
      <c r="E4261" s="435" t="s">
        <v>8276</v>
      </c>
    </row>
    <row r="4262" spans="4:5">
      <c r="D4262" s="434" t="s">
        <v>8278</v>
      </c>
      <c r="E4262" s="435" t="s">
        <v>8279</v>
      </c>
    </row>
    <row r="4263" spans="4:5">
      <c r="D4263" s="434" t="s">
        <v>8280</v>
      </c>
      <c r="E4263" s="435" t="s">
        <v>8279</v>
      </c>
    </row>
    <row r="4264" spans="4:5">
      <c r="D4264" s="437" t="s">
        <v>8281</v>
      </c>
      <c r="E4264" s="435"/>
    </row>
    <row r="4265" spans="4:5">
      <c r="D4265" s="434" t="s">
        <v>8282</v>
      </c>
      <c r="E4265" s="435" t="s">
        <v>8283</v>
      </c>
    </row>
    <row r="4266" spans="4:5">
      <c r="D4266" s="437" t="s">
        <v>8284</v>
      </c>
      <c r="E4266" s="435"/>
    </row>
    <row r="4267" spans="4:5">
      <c r="D4267" s="437" t="s">
        <v>8285</v>
      </c>
      <c r="E4267" s="435"/>
    </row>
    <row r="4268" spans="4:5">
      <c r="D4268" s="434" t="s">
        <v>1073</v>
      </c>
      <c r="E4268" s="435" t="s">
        <v>8286</v>
      </c>
    </row>
    <row r="4269" spans="4:5">
      <c r="D4269" s="437" t="s">
        <v>8287</v>
      </c>
      <c r="E4269" s="435"/>
    </row>
    <row r="4270" spans="4:5">
      <c r="D4270" s="437" t="s">
        <v>8288</v>
      </c>
      <c r="E4270" s="435"/>
    </row>
    <row r="4271" spans="4:5">
      <c r="D4271" s="437" t="s">
        <v>8289</v>
      </c>
      <c r="E4271" s="435"/>
    </row>
    <row r="4272" spans="4:5">
      <c r="D4272" s="434" t="s">
        <v>8290</v>
      </c>
      <c r="E4272" s="435" t="s">
        <v>8291</v>
      </c>
    </row>
    <row r="4273" spans="4:5">
      <c r="D4273" s="434" t="s">
        <v>8292</v>
      </c>
      <c r="E4273" s="435" t="s">
        <v>8291</v>
      </c>
    </row>
    <row r="4274" spans="4:5">
      <c r="D4274" s="437" t="s">
        <v>8293</v>
      </c>
      <c r="E4274" s="435"/>
    </row>
    <row r="4275" spans="4:5">
      <c r="D4275" s="437" t="s">
        <v>8294</v>
      </c>
      <c r="E4275" s="435"/>
    </row>
    <row r="4276" spans="4:5">
      <c r="D4276" s="434" t="s">
        <v>8295</v>
      </c>
      <c r="E4276" s="435" t="s">
        <v>8296</v>
      </c>
    </row>
    <row r="4277" spans="4:5">
      <c r="D4277" s="437" t="s">
        <v>8297</v>
      </c>
      <c r="E4277" s="435"/>
    </row>
    <row r="4278" spans="4:5">
      <c r="D4278" s="437" t="s">
        <v>8298</v>
      </c>
      <c r="E4278" s="435"/>
    </row>
    <row r="4279" spans="4:5">
      <c r="D4279" s="437" t="s">
        <v>8299</v>
      </c>
      <c r="E4279" s="435"/>
    </row>
    <row r="4280" spans="4:5">
      <c r="D4280" s="434" t="s">
        <v>8300</v>
      </c>
      <c r="E4280" s="435" t="s">
        <v>8301</v>
      </c>
    </row>
    <row r="4281" spans="4:5">
      <c r="D4281" s="437" t="s">
        <v>8302</v>
      </c>
      <c r="E4281" s="435"/>
    </row>
    <row r="4282" spans="4:5">
      <c r="D4282" s="434" t="s">
        <v>8303</v>
      </c>
      <c r="E4282" s="435" t="s">
        <v>8304</v>
      </c>
    </row>
    <row r="4283" spans="4:5">
      <c r="D4283" s="437" t="s">
        <v>8305</v>
      </c>
      <c r="E4283" s="435"/>
    </row>
    <row r="4284" spans="4:5">
      <c r="D4284" s="434" t="s">
        <v>8306</v>
      </c>
      <c r="E4284" s="435" t="s">
        <v>8307</v>
      </c>
    </row>
    <row r="4285" spans="4:5">
      <c r="D4285" s="434" t="s">
        <v>8308</v>
      </c>
      <c r="E4285" s="435" t="s">
        <v>8309</v>
      </c>
    </row>
    <row r="4286" spans="4:5">
      <c r="D4286" s="437" t="s">
        <v>8310</v>
      </c>
      <c r="E4286" s="435"/>
    </row>
    <row r="4287" spans="4:5">
      <c r="D4287" s="437" t="s">
        <v>8311</v>
      </c>
      <c r="E4287" s="435"/>
    </row>
    <row r="4288" spans="4:5">
      <c r="D4288" s="434" t="s">
        <v>8312</v>
      </c>
      <c r="E4288" s="435" t="s">
        <v>8313</v>
      </c>
    </row>
    <row r="4289" spans="4:5">
      <c r="D4289" s="434" t="s">
        <v>8314</v>
      </c>
      <c r="E4289" s="435" t="s">
        <v>8313</v>
      </c>
    </row>
    <row r="4290" spans="4:5">
      <c r="D4290" s="434" t="s">
        <v>8315</v>
      </c>
      <c r="E4290" s="435" t="s">
        <v>8316</v>
      </c>
    </row>
    <row r="4291" spans="4:5">
      <c r="D4291" s="434" t="s">
        <v>8317</v>
      </c>
      <c r="E4291" s="435" t="s">
        <v>8316</v>
      </c>
    </row>
    <row r="4292" spans="4:5">
      <c r="D4292" s="434" t="s">
        <v>8318</v>
      </c>
      <c r="E4292" s="435" t="s">
        <v>8319</v>
      </c>
    </row>
    <row r="4293" spans="4:5">
      <c r="D4293" s="434" t="s">
        <v>8320</v>
      </c>
      <c r="E4293" s="435" t="s">
        <v>8321</v>
      </c>
    </row>
    <row r="4294" spans="4:5">
      <c r="D4294" s="434" t="s">
        <v>8322</v>
      </c>
      <c r="E4294" s="435" t="s">
        <v>8323</v>
      </c>
    </row>
    <row r="4295" spans="4:5">
      <c r="D4295" s="437" t="s">
        <v>8324</v>
      </c>
      <c r="E4295" s="435"/>
    </row>
    <row r="4296" spans="4:5">
      <c r="D4296" s="437" t="s">
        <v>8325</v>
      </c>
      <c r="E4296" s="435"/>
    </row>
    <row r="4297" spans="4:5">
      <c r="D4297" s="437" t="s">
        <v>8326</v>
      </c>
      <c r="E4297" s="435"/>
    </row>
    <row r="4298" spans="4:5">
      <c r="D4298" s="434" t="s">
        <v>8327</v>
      </c>
      <c r="E4298" s="435" t="s">
        <v>8328</v>
      </c>
    </row>
    <row r="4299" spans="4:5">
      <c r="D4299" s="437" t="s">
        <v>8329</v>
      </c>
      <c r="E4299" s="435"/>
    </row>
    <row r="4300" spans="4:5">
      <c r="D4300" s="437" t="s">
        <v>8330</v>
      </c>
      <c r="E4300" s="435"/>
    </row>
    <row r="4301" spans="4:5">
      <c r="D4301" s="434" t="s">
        <v>8331</v>
      </c>
      <c r="E4301" s="435" t="s">
        <v>8332</v>
      </c>
    </row>
    <row r="4302" spans="4:5">
      <c r="D4302" s="434" t="s">
        <v>8333</v>
      </c>
      <c r="E4302" s="435" t="s">
        <v>8334</v>
      </c>
    </row>
    <row r="4303" spans="4:5">
      <c r="D4303" s="437" t="s">
        <v>8335</v>
      </c>
      <c r="E4303" s="435"/>
    </row>
    <row r="4304" spans="4:5">
      <c r="D4304" s="437" t="s">
        <v>8336</v>
      </c>
      <c r="E4304" s="435"/>
    </row>
    <row r="4305" spans="4:5">
      <c r="D4305" s="437" t="s">
        <v>8337</v>
      </c>
      <c r="E4305" s="435"/>
    </row>
    <row r="4306" spans="4:5">
      <c r="D4306" s="437" t="s">
        <v>8338</v>
      </c>
      <c r="E4306" s="435"/>
    </row>
    <row r="4307" spans="4:5">
      <c r="D4307" s="437" t="s">
        <v>8339</v>
      </c>
      <c r="E4307" s="435"/>
    </row>
    <row r="4308" spans="4:5">
      <c r="D4308" s="437" t="s">
        <v>8340</v>
      </c>
      <c r="E4308" s="435"/>
    </row>
    <row r="4309" spans="4:5">
      <c r="D4309" s="434" t="s">
        <v>876</v>
      </c>
      <c r="E4309" s="435" t="s">
        <v>8334</v>
      </c>
    </row>
    <row r="4310" spans="4:5">
      <c r="D4310" s="434" t="s">
        <v>8341</v>
      </c>
      <c r="E4310" s="435" t="s">
        <v>8334</v>
      </c>
    </row>
    <row r="4311" spans="4:5">
      <c r="D4311" s="434" t="s">
        <v>8342</v>
      </c>
      <c r="E4311" s="435" t="s">
        <v>8343</v>
      </c>
    </row>
    <row r="4312" spans="4:5">
      <c r="D4312" s="437" t="s">
        <v>8344</v>
      </c>
      <c r="E4312" s="435"/>
    </row>
    <row r="4313" spans="4:5">
      <c r="D4313" s="437" t="s">
        <v>8345</v>
      </c>
      <c r="E4313" s="435"/>
    </row>
    <row r="4314" spans="4:5">
      <c r="D4314" s="437" t="s">
        <v>8346</v>
      </c>
      <c r="E4314" s="435"/>
    </row>
    <row r="4315" spans="4:5">
      <c r="D4315" s="434" t="s">
        <v>8347</v>
      </c>
      <c r="E4315" s="435" t="s">
        <v>8348</v>
      </c>
    </row>
    <row r="4316" spans="4:5">
      <c r="D4316" s="434" t="s">
        <v>8349</v>
      </c>
      <c r="E4316" s="435" t="s">
        <v>8350</v>
      </c>
    </row>
    <row r="4317" spans="4:5">
      <c r="D4317" s="437" t="s">
        <v>8351</v>
      </c>
      <c r="E4317" s="435"/>
    </row>
    <row r="4318" spans="4:5">
      <c r="D4318" s="434" t="s">
        <v>8352</v>
      </c>
      <c r="E4318" s="435" t="s">
        <v>8353</v>
      </c>
    </row>
    <row r="4319" spans="4:5">
      <c r="D4319" s="437" t="s">
        <v>8354</v>
      </c>
      <c r="E4319" s="435"/>
    </row>
    <row r="4320" spans="4:5">
      <c r="D4320" s="437" t="s">
        <v>8355</v>
      </c>
      <c r="E4320" s="435"/>
    </row>
    <row r="4321" spans="4:5">
      <c r="D4321" s="437" t="s">
        <v>8356</v>
      </c>
      <c r="E4321" s="435"/>
    </row>
    <row r="4322" spans="4:5">
      <c r="D4322" s="437" t="s">
        <v>8357</v>
      </c>
      <c r="E4322" s="435"/>
    </row>
    <row r="4323" spans="4:5">
      <c r="D4323" s="437" t="s">
        <v>8358</v>
      </c>
      <c r="E4323" s="435"/>
    </row>
    <row r="4324" spans="4:5">
      <c r="D4324" s="437" t="s">
        <v>8359</v>
      </c>
      <c r="E4324" s="435"/>
    </row>
    <row r="4325" spans="4:5">
      <c r="D4325" s="437" t="s">
        <v>8360</v>
      </c>
      <c r="E4325" s="435"/>
    </row>
    <row r="4326" spans="4:5">
      <c r="D4326" s="437" t="s">
        <v>8361</v>
      </c>
      <c r="E4326" s="435"/>
    </row>
    <row r="4327" spans="4:5">
      <c r="D4327" s="437" t="s">
        <v>8362</v>
      </c>
      <c r="E4327" s="435"/>
    </row>
    <row r="4328" spans="4:5">
      <c r="D4328" s="437" t="s">
        <v>8363</v>
      </c>
      <c r="E4328" s="435"/>
    </row>
    <row r="4329" spans="4:5">
      <c r="D4329" s="434" t="s">
        <v>8364</v>
      </c>
      <c r="E4329" s="435" t="s">
        <v>8365</v>
      </c>
    </row>
    <row r="4330" spans="4:5">
      <c r="D4330" s="434" t="s">
        <v>8366</v>
      </c>
      <c r="E4330" s="435" t="s">
        <v>8365</v>
      </c>
    </row>
    <row r="4331" spans="4:5">
      <c r="D4331" s="437" t="s">
        <v>8367</v>
      </c>
      <c r="E4331" s="435"/>
    </row>
    <row r="4332" spans="4:5">
      <c r="D4332" s="437" t="s">
        <v>8368</v>
      </c>
      <c r="E4332" s="435"/>
    </row>
    <row r="4333" spans="4:5">
      <c r="D4333" s="434" t="s">
        <v>8369</v>
      </c>
      <c r="E4333" s="435" t="s">
        <v>8370</v>
      </c>
    </row>
    <row r="4334" spans="4:5">
      <c r="D4334" s="434" t="s">
        <v>8371</v>
      </c>
      <c r="E4334" s="435" t="s">
        <v>8370</v>
      </c>
    </row>
    <row r="4335" spans="4:5">
      <c r="D4335" s="437" t="s">
        <v>8372</v>
      </c>
      <c r="E4335" s="435"/>
    </row>
    <row r="4336" spans="4:5">
      <c r="D4336" s="437" t="s">
        <v>8373</v>
      </c>
      <c r="E4336" s="435"/>
    </row>
    <row r="4337" spans="4:5">
      <c r="D4337" s="437" t="s">
        <v>8374</v>
      </c>
      <c r="E4337" s="435"/>
    </row>
    <row r="4338" spans="4:5">
      <c r="D4338" s="434" t="s">
        <v>8375</v>
      </c>
      <c r="E4338" s="435" t="s">
        <v>8376</v>
      </c>
    </row>
    <row r="4339" spans="4:5">
      <c r="D4339" s="434" t="s">
        <v>8377</v>
      </c>
      <c r="E4339" s="435" t="s">
        <v>8376</v>
      </c>
    </row>
    <row r="4340" spans="4:5">
      <c r="D4340" s="434" t="s">
        <v>8378</v>
      </c>
      <c r="E4340" s="435" t="s">
        <v>8379</v>
      </c>
    </row>
    <row r="4341" spans="4:5">
      <c r="D4341" s="434" t="s">
        <v>8380</v>
      </c>
      <c r="E4341" s="435" t="s">
        <v>8379</v>
      </c>
    </row>
    <row r="4342" spans="4:5">
      <c r="D4342" s="437" t="s">
        <v>8381</v>
      </c>
      <c r="E4342" s="435"/>
    </row>
    <row r="4343" spans="4:5">
      <c r="D4343" s="437" t="s">
        <v>8382</v>
      </c>
      <c r="E4343" s="435"/>
    </row>
    <row r="4344" spans="4:5">
      <c r="D4344" s="437" t="s">
        <v>8383</v>
      </c>
      <c r="E4344" s="435"/>
    </row>
    <row r="4345" spans="4:5">
      <c r="D4345" s="437" t="s">
        <v>8384</v>
      </c>
      <c r="E4345" s="435"/>
    </row>
    <row r="4346" spans="4:5">
      <c r="D4346" s="437" t="s">
        <v>8385</v>
      </c>
      <c r="E4346" s="435"/>
    </row>
    <row r="4347" spans="4:5">
      <c r="D4347" s="437" t="s">
        <v>8386</v>
      </c>
      <c r="E4347" s="435"/>
    </row>
    <row r="4348" spans="4:5">
      <c r="D4348" s="434" t="s">
        <v>8387</v>
      </c>
      <c r="E4348" s="435" t="s">
        <v>8379</v>
      </c>
    </row>
    <row r="4349" spans="4:5">
      <c r="D4349" s="437" t="s">
        <v>8388</v>
      </c>
      <c r="E4349" s="435"/>
    </row>
    <row r="4350" spans="4:5">
      <c r="D4350" s="437" t="s">
        <v>8389</v>
      </c>
      <c r="E4350" s="435"/>
    </row>
    <row r="4351" spans="4:5">
      <c r="D4351" s="434" t="s">
        <v>8390</v>
      </c>
      <c r="E4351" s="435" t="s">
        <v>8391</v>
      </c>
    </row>
    <row r="4352" spans="4:5">
      <c r="D4352" s="434" t="s">
        <v>8392</v>
      </c>
      <c r="E4352" s="435" t="s">
        <v>8391</v>
      </c>
    </row>
    <row r="4353" spans="4:5">
      <c r="D4353" s="434" t="s">
        <v>8393</v>
      </c>
      <c r="E4353" s="435" t="s">
        <v>8394</v>
      </c>
    </row>
    <row r="4354" spans="4:5">
      <c r="D4354" s="434" t="s">
        <v>8395</v>
      </c>
      <c r="E4354" s="435" t="s">
        <v>8396</v>
      </c>
    </row>
    <row r="4355" spans="4:5">
      <c r="D4355" s="434" t="s">
        <v>8397</v>
      </c>
      <c r="E4355" s="435" t="s">
        <v>8396</v>
      </c>
    </row>
    <row r="4356" spans="4:5">
      <c r="D4356" s="437" t="s">
        <v>8398</v>
      </c>
      <c r="E4356" s="435"/>
    </row>
    <row r="4357" spans="4:5">
      <c r="D4357" s="437" t="s">
        <v>8399</v>
      </c>
      <c r="E4357" s="435"/>
    </row>
    <row r="4358" spans="4:5">
      <c r="D4358" s="434" t="s">
        <v>8400</v>
      </c>
      <c r="E4358" s="435" t="s">
        <v>8396</v>
      </c>
    </row>
    <row r="4359" spans="4:5">
      <c r="D4359" s="437" t="s">
        <v>8401</v>
      </c>
      <c r="E4359" s="435"/>
    </row>
    <row r="4360" spans="4:5">
      <c r="D4360" s="437" t="s">
        <v>8402</v>
      </c>
      <c r="E4360" s="435"/>
    </row>
    <row r="4361" spans="4:5">
      <c r="D4361" s="434" t="s">
        <v>8403</v>
      </c>
      <c r="E4361" s="435" t="s">
        <v>8404</v>
      </c>
    </row>
    <row r="4362" spans="4:5">
      <c r="D4362" s="434" t="s">
        <v>8405</v>
      </c>
      <c r="E4362" s="435" t="s">
        <v>8404</v>
      </c>
    </row>
    <row r="4363" spans="4:5">
      <c r="D4363" s="437" t="s">
        <v>8406</v>
      </c>
      <c r="E4363" s="435"/>
    </row>
    <row r="4364" spans="4:5">
      <c r="D4364" s="437" t="s">
        <v>8407</v>
      </c>
      <c r="E4364" s="435"/>
    </row>
    <row r="4365" spans="4:5">
      <c r="D4365" s="437" t="s">
        <v>8408</v>
      </c>
      <c r="E4365" s="435"/>
    </row>
    <row r="4366" spans="4:5">
      <c r="D4366" s="434" t="s">
        <v>8409</v>
      </c>
      <c r="E4366" s="435" t="s">
        <v>8410</v>
      </c>
    </row>
    <row r="4367" spans="4:5">
      <c r="D4367" s="434" t="s">
        <v>8411</v>
      </c>
      <c r="E4367" s="435" t="s">
        <v>8410</v>
      </c>
    </row>
    <row r="4368" spans="4:5">
      <c r="D4368" s="434" t="s">
        <v>8412</v>
      </c>
      <c r="E4368" s="435" t="s">
        <v>8413</v>
      </c>
    </row>
    <row r="4369" spans="4:5">
      <c r="D4369" s="434" t="s">
        <v>8414</v>
      </c>
      <c r="E4369" s="435" t="s">
        <v>8415</v>
      </c>
    </row>
    <row r="4370" spans="4:5">
      <c r="D4370" s="437" t="s">
        <v>8416</v>
      </c>
      <c r="E4370" s="435"/>
    </row>
    <row r="4371" spans="4:5">
      <c r="D4371" s="434" t="s">
        <v>8417</v>
      </c>
      <c r="E4371" s="435" t="s">
        <v>8418</v>
      </c>
    </row>
    <row r="4372" spans="4:5">
      <c r="D4372" s="437" t="s">
        <v>8419</v>
      </c>
      <c r="E4372" s="435"/>
    </row>
    <row r="4373" spans="4:5">
      <c r="D4373" s="437" t="s">
        <v>8420</v>
      </c>
      <c r="E4373" s="435"/>
    </row>
    <row r="4374" spans="4:5">
      <c r="D4374" s="437" t="s">
        <v>8421</v>
      </c>
      <c r="E4374" s="435"/>
    </row>
    <row r="4375" spans="4:5">
      <c r="D4375" s="437" t="s">
        <v>8422</v>
      </c>
      <c r="E4375" s="435"/>
    </row>
    <row r="4376" spans="4:5">
      <c r="D4376" s="437" t="s">
        <v>8423</v>
      </c>
      <c r="E4376" s="435"/>
    </row>
    <row r="4377" spans="4:5">
      <c r="D4377" s="434" t="s">
        <v>8424</v>
      </c>
      <c r="E4377" s="435" t="s">
        <v>8425</v>
      </c>
    </row>
    <row r="4378" spans="4:5">
      <c r="D4378" s="437" t="s">
        <v>8426</v>
      </c>
      <c r="E4378" s="435"/>
    </row>
    <row r="4379" spans="4:5">
      <c r="D4379" s="437" t="s">
        <v>8427</v>
      </c>
      <c r="E4379" s="435"/>
    </row>
    <row r="4380" spans="4:5">
      <c r="D4380" s="434" t="s">
        <v>8428</v>
      </c>
      <c r="E4380" s="435" t="s">
        <v>8429</v>
      </c>
    </row>
    <row r="4381" spans="4:5">
      <c r="D4381" s="437" t="s">
        <v>8430</v>
      </c>
      <c r="E4381" s="435"/>
    </row>
    <row r="4382" spans="4:5">
      <c r="D4382" s="437" t="s">
        <v>8431</v>
      </c>
      <c r="E4382" s="435"/>
    </row>
    <row r="4383" spans="4:5">
      <c r="D4383" s="437" t="s">
        <v>8432</v>
      </c>
      <c r="E4383" s="435"/>
    </row>
    <row r="4384" spans="4:5">
      <c r="D4384" s="437" t="s">
        <v>8433</v>
      </c>
      <c r="E4384" s="435"/>
    </row>
    <row r="4385" spans="4:5">
      <c r="D4385" s="437" t="s">
        <v>8434</v>
      </c>
      <c r="E4385" s="435"/>
    </row>
    <row r="4386" spans="4:5">
      <c r="D4386" s="437" t="s">
        <v>8435</v>
      </c>
      <c r="E4386" s="435"/>
    </row>
    <row r="4387" spans="4:5">
      <c r="D4387" s="437" t="s">
        <v>8436</v>
      </c>
      <c r="E4387" s="435"/>
    </row>
    <row r="4388" spans="4:5">
      <c r="D4388" s="437" t="s">
        <v>8437</v>
      </c>
      <c r="E4388" s="435"/>
    </row>
    <row r="4389" spans="4:5">
      <c r="D4389" s="437" t="s">
        <v>8438</v>
      </c>
      <c r="E4389" s="435"/>
    </row>
    <row r="4390" spans="4:5">
      <c r="D4390" s="437" t="s">
        <v>8439</v>
      </c>
      <c r="E4390" s="435"/>
    </row>
    <row r="4391" spans="4:5">
      <c r="D4391" s="437" t="s">
        <v>8440</v>
      </c>
      <c r="E4391" s="435"/>
    </row>
    <row r="4392" spans="4:5">
      <c r="D4392" s="434" t="s">
        <v>8441</v>
      </c>
      <c r="E4392" s="435" t="s">
        <v>8442</v>
      </c>
    </row>
    <row r="4393" spans="4:5">
      <c r="D4393" s="437" t="s">
        <v>8443</v>
      </c>
      <c r="E4393" s="435"/>
    </row>
    <row r="4394" spans="4:5">
      <c r="D4394" s="437" t="s">
        <v>8444</v>
      </c>
      <c r="E4394" s="435"/>
    </row>
    <row r="4395" spans="4:5">
      <c r="D4395" s="434" t="s">
        <v>8445</v>
      </c>
      <c r="E4395" s="435" t="s">
        <v>8446</v>
      </c>
    </row>
    <row r="4396" spans="4:5">
      <c r="D4396" s="434" t="s">
        <v>8447</v>
      </c>
      <c r="E4396" s="435" t="s">
        <v>8446</v>
      </c>
    </row>
    <row r="4397" spans="4:5">
      <c r="D4397" s="437" t="s">
        <v>8448</v>
      </c>
      <c r="E4397" s="435"/>
    </row>
    <row r="4398" spans="4:5">
      <c r="D4398" s="437" t="s">
        <v>8449</v>
      </c>
      <c r="E4398" s="435"/>
    </row>
    <row r="4399" spans="4:5">
      <c r="D4399" s="437" t="s">
        <v>8450</v>
      </c>
      <c r="E4399" s="435"/>
    </row>
    <row r="4400" spans="4:5">
      <c r="D4400" s="434" t="s">
        <v>8451</v>
      </c>
      <c r="E4400" s="435" t="s">
        <v>8452</v>
      </c>
    </row>
    <row r="4401" spans="4:5">
      <c r="D4401" s="437" t="s">
        <v>8453</v>
      </c>
      <c r="E4401" s="435"/>
    </row>
    <row r="4402" spans="4:5">
      <c r="D4402" s="437" t="s">
        <v>8454</v>
      </c>
      <c r="E4402" s="435"/>
    </row>
    <row r="4403" spans="4:5">
      <c r="D4403" s="434" t="s">
        <v>8455</v>
      </c>
      <c r="E4403" s="435" t="s">
        <v>8456</v>
      </c>
    </row>
    <row r="4404" spans="4:5">
      <c r="D4404" s="434" t="s">
        <v>8457</v>
      </c>
      <c r="E4404" s="435" t="s">
        <v>8456</v>
      </c>
    </row>
    <row r="4405" spans="4:5">
      <c r="D4405" s="437" t="s">
        <v>8458</v>
      </c>
      <c r="E4405" s="435"/>
    </row>
    <row r="4406" spans="4:5">
      <c r="D4406" s="437" t="s">
        <v>8459</v>
      </c>
      <c r="E4406" s="435"/>
    </row>
    <row r="4407" spans="4:5">
      <c r="D4407" s="437" t="s">
        <v>8460</v>
      </c>
      <c r="E4407" s="435"/>
    </row>
    <row r="4408" spans="4:5">
      <c r="D4408" s="437" t="s">
        <v>8461</v>
      </c>
      <c r="E4408" s="435"/>
    </row>
    <row r="4409" spans="4:5">
      <c r="D4409" s="434" t="s">
        <v>8462</v>
      </c>
      <c r="E4409" s="435" t="s">
        <v>8456</v>
      </c>
    </row>
    <row r="4410" spans="4:5">
      <c r="D4410" s="434" t="s">
        <v>8463</v>
      </c>
      <c r="E4410" s="435" t="s">
        <v>8464</v>
      </c>
    </row>
    <row r="4411" spans="4:5">
      <c r="D4411" s="437" t="s">
        <v>8465</v>
      </c>
      <c r="E4411" s="435"/>
    </row>
    <row r="4412" spans="4:5">
      <c r="D4412" s="434" t="s">
        <v>8466</v>
      </c>
      <c r="E4412" s="435" t="s">
        <v>8467</v>
      </c>
    </row>
    <row r="4413" spans="4:5">
      <c r="D4413" s="434" t="s">
        <v>8468</v>
      </c>
      <c r="E4413" s="435" t="s">
        <v>8469</v>
      </c>
    </row>
    <row r="4414" spans="4:5">
      <c r="D4414" s="434" t="s">
        <v>8470</v>
      </c>
      <c r="E4414" s="435" t="s">
        <v>8469</v>
      </c>
    </row>
    <row r="4415" spans="4:5">
      <c r="D4415" s="434" t="s">
        <v>8471</v>
      </c>
      <c r="E4415" s="435" t="s">
        <v>8472</v>
      </c>
    </row>
    <row r="4416" spans="4:5">
      <c r="D4416" s="437" t="s">
        <v>8473</v>
      </c>
      <c r="E4416" s="435"/>
    </row>
    <row r="4417" spans="4:5">
      <c r="D4417" s="437" t="s">
        <v>8474</v>
      </c>
      <c r="E4417" s="435"/>
    </row>
    <row r="4418" spans="4:5">
      <c r="D4418" s="434" t="s">
        <v>8475</v>
      </c>
      <c r="E4418" s="435" t="s">
        <v>8476</v>
      </c>
    </row>
    <row r="4419" spans="4:5">
      <c r="D4419" s="437" t="s">
        <v>8477</v>
      </c>
      <c r="E4419" s="435"/>
    </row>
    <row r="4420" spans="4:5">
      <c r="D4420" s="437" t="s">
        <v>8478</v>
      </c>
      <c r="E4420" s="435"/>
    </row>
    <row r="4421" spans="4:5">
      <c r="D4421" s="434" t="s">
        <v>8479</v>
      </c>
      <c r="E4421" s="435" t="s">
        <v>8480</v>
      </c>
    </row>
    <row r="4422" spans="4:5">
      <c r="D4422" s="437" t="s">
        <v>8481</v>
      </c>
      <c r="E4422" s="435"/>
    </row>
    <row r="4423" spans="4:5">
      <c r="D4423" s="437" t="s">
        <v>8482</v>
      </c>
      <c r="E4423" s="435"/>
    </row>
    <row r="4424" spans="4:5">
      <c r="D4424" s="437" t="s">
        <v>8483</v>
      </c>
      <c r="E4424" s="435"/>
    </row>
    <row r="4425" spans="4:5">
      <c r="D4425" s="434" t="s">
        <v>8484</v>
      </c>
      <c r="E4425" s="435" t="s">
        <v>8485</v>
      </c>
    </row>
    <row r="4426" spans="4:5">
      <c r="D4426" s="437" t="s">
        <v>8486</v>
      </c>
      <c r="E4426" s="435"/>
    </row>
    <row r="4427" spans="4:5">
      <c r="D4427" s="437" t="s">
        <v>8487</v>
      </c>
      <c r="E4427" s="435"/>
    </row>
    <row r="4428" spans="4:5">
      <c r="D4428" s="437" t="s">
        <v>8488</v>
      </c>
      <c r="E4428" s="435"/>
    </row>
    <row r="4429" spans="4:5">
      <c r="D4429" s="437" t="s">
        <v>8489</v>
      </c>
      <c r="E4429" s="435"/>
    </row>
    <row r="4430" spans="4:5">
      <c r="D4430" s="434" t="s">
        <v>8490</v>
      </c>
      <c r="E4430" s="435" t="s">
        <v>8491</v>
      </c>
    </row>
    <row r="4431" spans="4:5">
      <c r="D4431" s="434" t="s">
        <v>8492</v>
      </c>
      <c r="E4431" s="435" t="s">
        <v>8491</v>
      </c>
    </row>
    <row r="4432" spans="4:5">
      <c r="D4432" s="437" t="s">
        <v>8493</v>
      </c>
      <c r="E4432" s="435"/>
    </row>
    <row r="4433" spans="4:5">
      <c r="D4433" s="437" t="s">
        <v>8494</v>
      </c>
      <c r="E4433" s="435"/>
    </row>
    <row r="4434" spans="4:5">
      <c r="D4434" s="434" t="s">
        <v>8495</v>
      </c>
      <c r="E4434" s="435" t="s">
        <v>8491</v>
      </c>
    </row>
    <row r="4435" spans="4:5">
      <c r="D4435" s="437" t="s">
        <v>8496</v>
      </c>
      <c r="E4435" s="435"/>
    </row>
    <row r="4436" spans="4:5">
      <c r="D4436" s="437" t="s">
        <v>8497</v>
      </c>
      <c r="E4436" s="435"/>
    </row>
    <row r="4437" spans="4:5">
      <c r="D4437" s="437" t="s">
        <v>8498</v>
      </c>
      <c r="E4437" s="435"/>
    </row>
    <row r="4438" spans="4:5">
      <c r="D4438" s="437" t="s">
        <v>8499</v>
      </c>
      <c r="E4438" s="435"/>
    </row>
    <row r="4439" spans="4:5">
      <c r="D4439" s="437" t="s">
        <v>8500</v>
      </c>
      <c r="E4439" s="435"/>
    </row>
    <row r="4440" spans="4:5">
      <c r="D4440" s="437" t="s">
        <v>8501</v>
      </c>
      <c r="E4440" s="435"/>
    </row>
    <row r="4441" spans="4:5">
      <c r="D4441" s="437" t="s">
        <v>8502</v>
      </c>
      <c r="E4441" s="435"/>
    </row>
    <row r="4442" spans="4:5">
      <c r="D4442" s="437" t="s">
        <v>8503</v>
      </c>
      <c r="E4442" s="435"/>
    </row>
    <row r="4443" spans="4:5">
      <c r="D4443" s="437" t="s">
        <v>8504</v>
      </c>
      <c r="E4443" s="435"/>
    </row>
    <row r="4444" spans="4:5">
      <c r="D4444" s="437" t="s">
        <v>8505</v>
      </c>
      <c r="E4444" s="435"/>
    </row>
    <row r="4445" spans="4:5">
      <c r="D4445" s="437" t="s">
        <v>8506</v>
      </c>
      <c r="E4445" s="435"/>
    </row>
    <row r="4446" spans="4:5">
      <c r="D4446" s="437" t="s">
        <v>8507</v>
      </c>
      <c r="E4446" s="435"/>
    </row>
    <row r="4447" spans="4:5">
      <c r="D4447" s="434" t="s">
        <v>8508</v>
      </c>
      <c r="E4447" s="435" t="s">
        <v>8509</v>
      </c>
    </row>
    <row r="4448" spans="4:5">
      <c r="D4448" s="437" t="s">
        <v>8510</v>
      </c>
      <c r="E4448" s="435"/>
    </row>
    <row r="4449" spans="4:5">
      <c r="D4449" s="437" t="s">
        <v>8511</v>
      </c>
      <c r="E4449" s="435"/>
    </row>
    <row r="4450" spans="4:5">
      <c r="D4450" s="437" t="s">
        <v>8512</v>
      </c>
      <c r="E4450" s="435"/>
    </row>
    <row r="4451" spans="4:5">
      <c r="D4451" s="437" t="s">
        <v>8513</v>
      </c>
      <c r="E4451" s="435"/>
    </row>
    <row r="4452" spans="4:5">
      <c r="D4452" s="437" t="s">
        <v>8514</v>
      </c>
      <c r="E4452" s="435"/>
    </row>
    <row r="4453" spans="4:5">
      <c r="D4453" s="437" t="s">
        <v>8515</v>
      </c>
      <c r="E4453" s="435"/>
    </row>
    <row r="4454" spans="4:5">
      <c r="D4454" s="437" t="s">
        <v>8516</v>
      </c>
      <c r="E4454" s="435"/>
    </row>
    <row r="4455" spans="4:5">
      <c r="D4455" s="434" t="s">
        <v>8517</v>
      </c>
      <c r="E4455" s="435" t="s">
        <v>8518</v>
      </c>
    </row>
    <row r="4456" spans="4:5">
      <c r="D4456" s="434" t="s">
        <v>8519</v>
      </c>
      <c r="E4456" s="435" t="s">
        <v>8518</v>
      </c>
    </row>
    <row r="4457" spans="4:5">
      <c r="D4457" s="437" t="s">
        <v>8520</v>
      </c>
      <c r="E4457" s="435"/>
    </row>
    <row r="4458" spans="4:5">
      <c r="D4458" s="434" t="s">
        <v>8521</v>
      </c>
      <c r="E4458" s="435" t="s">
        <v>8522</v>
      </c>
    </row>
    <row r="4459" spans="4:5">
      <c r="D4459" s="434" t="s">
        <v>8523</v>
      </c>
      <c r="E4459" s="435" t="s">
        <v>8524</v>
      </c>
    </row>
    <row r="4460" spans="4:5">
      <c r="D4460" s="437" t="s">
        <v>8525</v>
      </c>
      <c r="E4460" s="435"/>
    </row>
    <row r="4461" spans="4:5">
      <c r="D4461" s="437" t="s">
        <v>8526</v>
      </c>
      <c r="E4461" s="435"/>
    </row>
    <row r="4462" spans="4:5">
      <c r="D4462" s="437" t="s">
        <v>8527</v>
      </c>
      <c r="E4462" s="435"/>
    </row>
    <row r="4463" spans="4:5">
      <c r="D4463" s="437" t="s">
        <v>8528</v>
      </c>
      <c r="E4463" s="435"/>
    </row>
    <row r="4464" spans="4:5">
      <c r="D4464" s="437" t="s">
        <v>8529</v>
      </c>
      <c r="E4464" s="435"/>
    </row>
    <row r="4465" spans="4:5">
      <c r="D4465" s="437" t="s">
        <v>8530</v>
      </c>
      <c r="E4465" s="435"/>
    </row>
    <row r="4466" spans="4:5">
      <c r="D4466" s="437" t="s">
        <v>8531</v>
      </c>
      <c r="E4466" s="435"/>
    </row>
    <row r="4467" spans="4:5">
      <c r="D4467" s="437" t="s">
        <v>8532</v>
      </c>
      <c r="E4467" s="435"/>
    </row>
    <row r="4468" spans="4:5">
      <c r="D4468" s="437" t="s">
        <v>8533</v>
      </c>
      <c r="E4468" s="435"/>
    </row>
    <row r="4469" spans="4:5">
      <c r="D4469" s="437" t="s">
        <v>8534</v>
      </c>
      <c r="E4469" s="435"/>
    </row>
    <row r="4470" spans="4:5">
      <c r="D4470" s="437" t="s">
        <v>8535</v>
      </c>
      <c r="E4470" s="435"/>
    </row>
    <row r="4471" spans="4:5">
      <c r="D4471" s="437" t="s">
        <v>8536</v>
      </c>
      <c r="E4471" s="435"/>
    </row>
    <row r="4472" spans="4:5">
      <c r="D4472" s="437" t="s">
        <v>8537</v>
      </c>
      <c r="E4472" s="435"/>
    </row>
    <row r="4473" spans="4:5">
      <c r="D4473" s="437" t="s">
        <v>8538</v>
      </c>
      <c r="E4473" s="435"/>
    </row>
    <row r="4474" spans="4:5">
      <c r="D4474" s="437" t="s">
        <v>8539</v>
      </c>
      <c r="E4474" s="435"/>
    </row>
    <row r="4475" spans="4:5">
      <c r="D4475" s="437" t="s">
        <v>8540</v>
      </c>
      <c r="E4475" s="435"/>
    </row>
    <row r="4476" spans="4:5">
      <c r="D4476" s="437" t="s">
        <v>8541</v>
      </c>
      <c r="E4476" s="435"/>
    </row>
    <row r="4477" spans="4:5">
      <c r="D4477" s="437" t="s">
        <v>8542</v>
      </c>
      <c r="E4477" s="435"/>
    </row>
    <row r="4478" spans="4:5">
      <c r="D4478" s="437" t="s">
        <v>8543</v>
      </c>
      <c r="E4478" s="435"/>
    </row>
    <row r="4479" spans="4:5">
      <c r="D4479" s="437" t="s">
        <v>8544</v>
      </c>
      <c r="E4479" s="435"/>
    </row>
    <row r="4480" spans="4:5">
      <c r="D4480" s="437" t="s">
        <v>8545</v>
      </c>
      <c r="E4480" s="435"/>
    </row>
    <row r="4481" spans="4:5">
      <c r="D4481" s="437" t="s">
        <v>8546</v>
      </c>
      <c r="E4481" s="435"/>
    </row>
    <row r="4482" spans="4:5">
      <c r="D4482" s="437" t="s">
        <v>8547</v>
      </c>
      <c r="E4482" s="435"/>
    </row>
    <row r="4483" spans="4:5">
      <c r="D4483" s="434" t="s">
        <v>8548</v>
      </c>
      <c r="E4483" s="435" t="s">
        <v>8549</v>
      </c>
    </row>
    <row r="4484" spans="4:5">
      <c r="D4484" s="434" t="s">
        <v>8550</v>
      </c>
      <c r="E4484" s="435" t="s">
        <v>8549</v>
      </c>
    </row>
    <row r="4485" spans="4:5">
      <c r="D4485" s="437" t="s">
        <v>8551</v>
      </c>
      <c r="E4485" s="435"/>
    </row>
    <row r="4486" spans="4:5">
      <c r="D4486" s="437" t="s">
        <v>8552</v>
      </c>
      <c r="E4486" s="435"/>
    </row>
    <row r="4487" spans="4:5">
      <c r="D4487" s="434" t="s">
        <v>8553</v>
      </c>
      <c r="E4487" s="435" t="s">
        <v>8554</v>
      </c>
    </row>
    <row r="4488" spans="4:5">
      <c r="D4488" s="437" t="s">
        <v>8555</v>
      </c>
      <c r="E4488" s="435"/>
    </row>
    <row r="4489" spans="4:5">
      <c r="D4489" s="437" t="s">
        <v>8556</v>
      </c>
      <c r="E4489" s="435"/>
    </row>
    <row r="4490" spans="4:5">
      <c r="D4490" s="434" t="s">
        <v>8557</v>
      </c>
      <c r="E4490" s="435" t="s">
        <v>8558</v>
      </c>
    </row>
    <row r="4491" spans="4:5">
      <c r="D4491" s="437" t="s">
        <v>8559</v>
      </c>
      <c r="E4491" s="435"/>
    </row>
    <row r="4492" spans="4:5">
      <c r="D4492" s="437" t="s">
        <v>8560</v>
      </c>
      <c r="E4492" s="435"/>
    </row>
    <row r="4493" spans="4:5">
      <c r="D4493" s="434" t="s">
        <v>8561</v>
      </c>
      <c r="E4493" s="435" t="s">
        <v>8562</v>
      </c>
    </row>
    <row r="4494" spans="4:5">
      <c r="D4494" s="434" t="s">
        <v>8563</v>
      </c>
      <c r="E4494" s="435" t="s">
        <v>8564</v>
      </c>
    </row>
    <row r="4495" spans="4:5">
      <c r="D4495" s="437" t="s">
        <v>8565</v>
      </c>
      <c r="E4495" s="435"/>
    </row>
    <row r="4496" spans="4:5">
      <c r="D4496" s="437" t="s">
        <v>8566</v>
      </c>
      <c r="E4496" s="435"/>
    </row>
    <row r="4497" spans="4:5">
      <c r="D4497" s="437" t="s">
        <v>8567</v>
      </c>
      <c r="E4497" s="435"/>
    </row>
    <row r="4498" spans="4:5">
      <c r="D4498" s="437" t="s">
        <v>8568</v>
      </c>
      <c r="E4498" s="435"/>
    </row>
    <row r="4499" spans="4:5">
      <c r="D4499" s="434" t="s">
        <v>8569</v>
      </c>
      <c r="E4499" s="435" t="s">
        <v>8570</v>
      </c>
    </row>
    <row r="4500" spans="4:5">
      <c r="D4500" s="437" t="s">
        <v>8571</v>
      </c>
      <c r="E4500" s="435"/>
    </row>
    <row r="4501" spans="4:5">
      <c r="D4501" s="437" t="s">
        <v>8572</v>
      </c>
      <c r="E4501" s="435"/>
    </row>
    <row r="4502" spans="4:5">
      <c r="D4502" s="437" t="s">
        <v>8573</v>
      </c>
      <c r="E4502" s="435"/>
    </row>
    <row r="4503" spans="4:5">
      <c r="D4503" s="434" t="s">
        <v>8574</v>
      </c>
      <c r="E4503" s="435" t="s">
        <v>8575</v>
      </c>
    </row>
    <row r="4504" spans="4:5">
      <c r="D4504" s="434" t="s">
        <v>8576</v>
      </c>
      <c r="E4504" s="435" t="s">
        <v>8577</v>
      </c>
    </row>
    <row r="4505" spans="4:5">
      <c r="D4505" s="437" t="s">
        <v>8578</v>
      </c>
      <c r="E4505" s="435"/>
    </row>
    <row r="4506" spans="4:5">
      <c r="D4506" s="437" t="s">
        <v>8579</v>
      </c>
      <c r="E4506" s="435"/>
    </row>
    <row r="4507" spans="4:5">
      <c r="D4507" s="434" t="s">
        <v>8580</v>
      </c>
      <c r="E4507" s="435" t="s">
        <v>8581</v>
      </c>
    </row>
    <row r="4508" spans="4:5">
      <c r="D4508" s="437" t="s">
        <v>8582</v>
      </c>
      <c r="E4508" s="435"/>
    </row>
    <row r="4509" spans="4:5">
      <c r="D4509" s="437" t="s">
        <v>8583</v>
      </c>
      <c r="E4509" s="435"/>
    </row>
    <row r="4510" spans="4:5">
      <c r="D4510" s="437" t="s">
        <v>8584</v>
      </c>
      <c r="E4510" s="435"/>
    </row>
    <row r="4511" spans="4:5">
      <c r="D4511" s="434" t="s">
        <v>8585</v>
      </c>
      <c r="E4511" s="435"/>
    </row>
    <row r="4512" spans="4:5">
      <c r="D4512" s="437" t="s">
        <v>8586</v>
      </c>
      <c r="E4512" s="435"/>
    </row>
    <row r="4513" spans="4:5">
      <c r="D4513" s="437" t="s">
        <v>8587</v>
      </c>
      <c r="E4513" s="435"/>
    </row>
    <row r="4514" spans="4:5">
      <c r="D4514" s="437" t="s">
        <v>8588</v>
      </c>
      <c r="E4514" s="435"/>
    </row>
    <row r="4515" spans="4:5">
      <c r="D4515" s="437" t="s">
        <v>8589</v>
      </c>
      <c r="E4515" s="435"/>
    </row>
    <row r="4516" spans="4:5">
      <c r="D4516" s="434" t="s">
        <v>8590</v>
      </c>
      <c r="E4516" s="435" t="s">
        <v>8591</v>
      </c>
    </row>
    <row r="4517" spans="4:5">
      <c r="D4517" s="437" t="s">
        <v>8592</v>
      </c>
      <c r="E4517" s="435"/>
    </row>
    <row r="4518" spans="4:5">
      <c r="D4518" s="437" t="s">
        <v>8593</v>
      </c>
      <c r="E4518" s="435"/>
    </row>
    <row r="4519" spans="4:5">
      <c r="D4519" s="437" t="s">
        <v>8594</v>
      </c>
      <c r="E4519" s="435"/>
    </row>
    <row r="4520" spans="4:5">
      <c r="D4520" s="437" t="s">
        <v>8595</v>
      </c>
      <c r="E4520" s="435"/>
    </row>
    <row r="4521" spans="4:5">
      <c r="D4521" s="437" t="s">
        <v>8596</v>
      </c>
      <c r="E4521" s="435"/>
    </row>
    <row r="4522" spans="4:5">
      <c r="D4522" s="434" t="s">
        <v>8597</v>
      </c>
      <c r="E4522" s="435" t="s">
        <v>8598</v>
      </c>
    </row>
    <row r="4523" spans="4:5">
      <c r="D4523" s="437" t="s">
        <v>8599</v>
      </c>
      <c r="E4523" s="435"/>
    </row>
    <row r="4524" spans="4:5">
      <c r="D4524" s="437" t="s">
        <v>8600</v>
      </c>
      <c r="E4524" s="435"/>
    </row>
    <row r="4525" spans="4:5">
      <c r="D4525" s="437" t="s">
        <v>8601</v>
      </c>
      <c r="E4525" s="435"/>
    </row>
    <row r="4526" spans="4:5">
      <c r="D4526" s="437" t="s">
        <v>8602</v>
      </c>
      <c r="E4526" s="435"/>
    </row>
    <row r="4527" spans="4:5">
      <c r="D4527" s="437" t="s">
        <v>8603</v>
      </c>
      <c r="E4527" s="435"/>
    </row>
    <row r="4528" spans="4:5">
      <c r="D4528" s="434" t="s">
        <v>8604</v>
      </c>
      <c r="E4528" s="435" t="s">
        <v>8605</v>
      </c>
    </row>
    <row r="4529" spans="4:5">
      <c r="D4529" s="437" t="s">
        <v>8606</v>
      </c>
      <c r="E4529" s="435"/>
    </row>
    <row r="4530" spans="4:5">
      <c r="D4530" s="437" t="s">
        <v>8607</v>
      </c>
      <c r="E4530" s="435"/>
    </row>
    <row r="4531" spans="4:5">
      <c r="D4531" s="437" t="s">
        <v>8608</v>
      </c>
      <c r="E4531" s="435"/>
    </row>
    <row r="4532" spans="4:5">
      <c r="D4532" s="437" t="s">
        <v>8609</v>
      </c>
      <c r="E4532" s="435"/>
    </row>
    <row r="4533" spans="4:5">
      <c r="D4533" s="437" t="s">
        <v>8610</v>
      </c>
      <c r="E4533" s="435"/>
    </row>
    <row r="4534" spans="4:5">
      <c r="D4534" s="437" t="s">
        <v>8611</v>
      </c>
      <c r="E4534" s="435"/>
    </row>
    <row r="4535" spans="4:5">
      <c r="D4535" s="437" t="s">
        <v>8612</v>
      </c>
      <c r="E4535" s="435"/>
    </row>
    <row r="4536" spans="4:5">
      <c r="D4536" s="437" t="s">
        <v>8613</v>
      </c>
      <c r="E4536" s="435"/>
    </row>
    <row r="4537" spans="4:5">
      <c r="D4537" s="437" t="s">
        <v>8614</v>
      </c>
      <c r="E4537" s="435"/>
    </row>
    <row r="4538" spans="4:5">
      <c r="D4538" s="437" t="s">
        <v>8615</v>
      </c>
      <c r="E4538" s="435"/>
    </row>
    <row r="4539" spans="4:5">
      <c r="D4539" s="437" t="s">
        <v>8616</v>
      </c>
      <c r="E4539" s="435"/>
    </row>
    <row r="4540" spans="4:5">
      <c r="D4540" s="437" t="s">
        <v>8617</v>
      </c>
      <c r="E4540" s="435"/>
    </row>
    <row r="4541" spans="4:5">
      <c r="D4541" s="437" t="s">
        <v>8618</v>
      </c>
      <c r="E4541" s="435"/>
    </row>
    <row r="4542" spans="4:5">
      <c r="D4542" s="437" t="s">
        <v>8619</v>
      </c>
      <c r="E4542" s="435"/>
    </row>
    <row r="4543" spans="4:5">
      <c r="D4543" s="437" t="s">
        <v>8620</v>
      </c>
      <c r="E4543" s="435"/>
    </row>
    <row r="4544" spans="4:5">
      <c r="D4544" s="437" t="s">
        <v>8621</v>
      </c>
      <c r="E4544" s="435"/>
    </row>
    <row r="4545" spans="4:5">
      <c r="D4545" s="437" t="s">
        <v>8622</v>
      </c>
      <c r="E4545" s="435"/>
    </row>
    <row r="4546" spans="4:5">
      <c r="D4546" s="437" t="s">
        <v>8623</v>
      </c>
      <c r="E4546" s="435"/>
    </row>
    <row r="4547" spans="4:5">
      <c r="D4547" s="437" t="s">
        <v>8624</v>
      </c>
      <c r="E4547" s="435"/>
    </row>
    <row r="4548" spans="4:5">
      <c r="D4548" s="437" t="s">
        <v>8625</v>
      </c>
      <c r="E4548" s="435"/>
    </row>
    <row r="4549" spans="4:5">
      <c r="D4549" s="434" t="s">
        <v>528</v>
      </c>
      <c r="E4549" s="435" t="s">
        <v>8626</v>
      </c>
    </row>
    <row r="4550" spans="4:5">
      <c r="D4550" s="434" t="s">
        <v>8627</v>
      </c>
      <c r="E4550" s="435" t="s">
        <v>8626</v>
      </c>
    </row>
    <row r="4551" spans="4:5">
      <c r="D4551" s="437" t="s">
        <v>8628</v>
      </c>
      <c r="E4551" s="435"/>
    </row>
    <row r="4552" spans="4:5">
      <c r="D4552" s="437" t="s">
        <v>8629</v>
      </c>
      <c r="E4552" s="435"/>
    </row>
    <row r="4553" spans="4:5">
      <c r="D4553" s="434" t="s">
        <v>8630</v>
      </c>
      <c r="E4553" s="435" t="s">
        <v>8631</v>
      </c>
    </row>
    <row r="4554" spans="4:5">
      <c r="D4554" s="434" t="s">
        <v>8632</v>
      </c>
      <c r="E4554" s="435" t="s">
        <v>8631</v>
      </c>
    </row>
    <row r="4555" spans="4:5">
      <c r="D4555" s="437" t="s">
        <v>8633</v>
      </c>
      <c r="E4555" s="435"/>
    </row>
    <row r="4556" spans="4:5">
      <c r="D4556" s="437" t="s">
        <v>8634</v>
      </c>
      <c r="E4556" s="435"/>
    </row>
    <row r="4557" spans="4:5">
      <c r="D4557" s="437" t="s">
        <v>8635</v>
      </c>
      <c r="E4557" s="435"/>
    </row>
    <row r="4558" spans="4:5">
      <c r="D4558" s="434" t="s">
        <v>808</v>
      </c>
      <c r="E4558" s="435" t="s">
        <v>8636</v>
      </c>
    </row>
    <row r="4559" spans="4:5">
      <c r="D4559" s="434" t="s">
        <v>8637</v>
      </c>
      <c r="E4559" s="435" t="s">
        <v>8636</v>
      </c>
    </row>
    <row r="4560" spans="4:5">
      <c r="D4560" s="437" t="s">
        <v>8638</v>
      </c>
      <c r="E4560" s="435"/>
    </row>
    <row r="4561" spans="4:5">
      <c r="D4561" s="437" t="s">
        <v>8639</v>
      </c>
      <c r="E4561" s="435"/>
    </row>
    <row r="4562" spans="4:5">
      <c r="D4562" s="437" t="s">
        <v>8640</v>
      </c>
      <c r="E4562" s="435"/>
    </row>
    <row r="4563" spans="4:5">
      <c r="D4563" s="437" t="s">
        <v>8641</v>
      </c>
      <c r="E4563" s="435"/>
    </row>
    <row r="4564" spans="4:5">
      <c r="D4564" s="437" t="s">
        <v>8642</v>
      </c>
      <c r="E4564" s="435"/>
    </row>
    <row r="4565" spans="4:5">
      <c r="D4565" s="437" t="s">
        <v>8643</v>
      </c>
      <c r="E4565" s="435"/>
    </row>
    <row r="4566" spans="4:5">
      <c r="D4566" s="437" t="s">
        <v>8644</v>
      </c>
      <c r="E4566" s="435"/>
    </row>
    <row r="4567" spans="4:5">
      <c r="D4567" s="437" t="s">
        <v>8645</v>
      </c>
      <c r="E4567" s="435"/>
    </row>
    <row r="4568" spans="4:5">
      <c r="D4568" s="437" t="s">
        <v>8646</v>
      </c>
      <c r="E4568" s="435"/>
    </row>
    <row r="4569" spans="4:5">
      <c r="D4569" s="437" t="s">
        <v>8647</v>
      </c>
      <c r="E4569" s="435"/>
    </row>
    <row r="4570" spans="4:5">
      <c r="D4570" s="434" t="s">
        <v>8648</v>
      </c>
      <c r="E4570" s="435" t="s">
        <v>8649</v>
      </c>
    </row>
    <row r="4571" spans="4:5">
      <c r="D4571" s="434" t="s">
        <v>8650</v>
      </c>
      <c r="E4571" s="435" t="s">
        <v>8649</v>
      </c>
    </row>
    <row r="4572" spans="4:5">
      <c r="D4572" s="437" t="s">
        <v>8651</v>
      </c>
      <c r="E4572" s="435"/>
    </row>
    <row r="4573" spans="4:5">
      <c r="D4573" s="437" t="s">
        <v>8652</v>
      </c>
      <c r="E4573" s="435"/>
    </row>
    <row r="4574" spans="4:5">
      <c r="D4574" s="437" t="s">
        <v>8653</v>
      </c>
      <c r="E4574" s="435"/>
    </row>
    <row r="4575" spans="4:5">
      <c r="D4575" s="437" t="s">
        <v>8654</v>
      </c>
      <c r="E4575" s="435"/>
    </row>
    <row r="4576" spans="4:5">
      <c r="D4576" s="437" t="s">
        <v>8655</v>
      </c>
      <c r="E4576" s="435"/>
    </row>
    <row r="4577" spans="4:5">
      <c r="D4577" s="437" t="s">
        <v>8656</v>
      </c>
      <c r="E4577" s="435"/>
    </row>
    <row r="4578" spans="4:5">
      <c r="D4578" s="437" t="s">
        <v>8657</v>
      </c>
      <c r="E4578" s="435"/>
    </row>
    <row r="4579" spans="4:5">
      <c r="D4579" s="437" t="s">
        <v>8658</v>
      </c>
      <c r="E4579" s="435"/>
    </row>
    <row r="4580" spans="4:5">
      <c r="D4580" s="437" t="s">
        <v>8659</v>
      </c>
      <c r="E4580" s="435"/>
    </row>
    <row r="4581" spans="4:5">
      <c r="D4581" s="437" t="s">
        <v>8660</v>
      </c>
      <c r="E4581" s="435"/>
    </row>
    <row r="4582" spans="4:5">
      <c r="D4582" s="437" t="s">
        <v>8661</v>
      </c>
      <c r="E4582" s="435"/>
    </row>
    <row r="4583" spans="4:5">
      <c r="D4583" s="437" t="s">
        <v>8662</v>
      </c>
      <c r="E4583" s="435"/>
    </row>
    <row r="4584" spans="4:5">
      <c r="D4584" s="437" t="s">
        <v>8663</v>
      </c>
      <c r="E4584" s="435"/>
    </row>
    <row r="4585" spans="4:5">
      <c r="D4585" s="434" t="s">
        <v>8664</v>
      </c>
      <c r="E4585" s="435"/>
    </row>
    <row r="4586" spans="4:5">
      <c r="D4586" s="437" t="s">
        <v>8665</v>
      </c>
      <c r="E4586" s="435"/>
    </row>
    <row r="4587" spans="4:5">
      <c r="D4587" s="434" t="s">
        <v>809</v>
      </c>
      <c r="E4587" s="435" t="s">
        <v>8666</v>
      </c>
    </row>
    <row r="4588" spans="4:5">
      <c r="D4588" s="434" t="s">
        <v>8667</v>
      </c>
      <c r="E4588" s="435" t="s">
        <v>8666</v>
      </c>
    </row>
    <row r="4589" spans="4:5">
      <c r="D4589" s="437" t="s">
        <v>8668</v>
      </c>
      <c r="E4589" s="435"/>
    </row>
    <row r="4590" spans="4:5">
      <c r="D4590" s="437" t="s">
        <v>8669</v>
      </c>
      <c r="E4590" s="435"/>
    </row>
    <row r="4591" spans="4:5">
      <c r="D4591" s="437" t="s">
        <v>8670</v>
      </c>
      <c r="E4591" s="435"/>
    </row>
    <row r="4592" spans="4:5">
      <c r="D4592" s="437" t="s">
        <v>8671</v>
      </c>
      <c r="E4592" s="435"/>
    </row>
    <row r="4593" spans="4:5">
      <c r="D4593" s="434" t="s">
        <v>532</v>
      </c>
      <c r="E4593" s="435" t="s">
        <v>8672</v>
      </c>
    </row>
    <row r="4594" spans="4:5">
      <c r="D4594" s="434" t="s">
        <v>8673</v>
      </c>
      <c r="E4594" s="435" t="s">
        <v>8672</v>
      </c>
    </row>
    <row r="4595" spans="4:5">
      <c r="D4595" s="434" t="s">
        <v>8674</v>
      </c>
      <c r="E4595" s="435" t="s">
        <v>8672</v>
      </c>
    </row>
    <row r="4596" spans="4:5">
      <c r="D4596" s="437" t="s">
        <v>8675</v>
      </c>
      <c r="E4596" s="435"/>
    </row>
    <row r="4597" spans="4:5">
      <c r="D4597" s="437" t="s">
        <v>8676</v>
      </c>
      <c r="E4597" s="435"/>
    </row>
    <row r="4598" spans="4:5">
      <c r="D4598" s="437" t="s">
        <v>8677</v>
      </c>
      <c r="E4598" s="435"/>
    </row>
    <row r="4599" spans="4:5">
      <c r="D4599" s="437" t="s">
        <v>8678</v>
      </c>
      <c r="E4599" s="435"/>
    </row>
    <row r="4600" spans="4:5">
      <c r="D4600" s="437" t="s">
        <v>8679</v>
      </c>
      <c r="E4600" s="435"/>
    </row>
    <row r="4601" spans="4:5">
      <c r="D4601" s="437" t="s">
        <v>8680</v>
      </c>
      <c r="E4601" s="435"/>
    </row>
    <row r="4602" spans="4:5">
      <c r="D4602" s="437" t="s">
        <v>8681</v>
      </c>
      <c r="E4602" s="435"/>
    </row>
    <row r="4603" spans="4:5">
      <c r="D4603" s="437" t="s">
        <v>8682</v>
      </c>
      <c r="E4603" s="435"/>
    </row>
    <row r="4604" spans="4:5">
      <c r="D4604" s="434" t="s">
        <v>8683</v>
      </c>
      <c r="E4604" s="435" t="s">
        <v>8672</v>
      </c>
    </row>
    <row r="4605" spans="4:5">
      <c r="D4605" s="434" t="s">
        <v>8684</v>
      </c>
      <c r="E4605" s="435" t="s">
        <v>8672</v>
      </c>
    </row>
    <row r="4606" spans="4:5">
      <c r="D4606" s="437" t="s">
        <v>8685</v>
      </c>
      <c r="E4606" s="435"/>
    </row>
    <row r="4607" spans="4:5">
      <c r="D4607" s="434" t="s">
        <v>8686</v>
      </c>
      <c r="E4607" s="435" t="s">
        <v>8672</v>
      </c>
    </row>
    <row r="4608" spans="4:5">
      <c r="D4608" s="437" t="s">
        <v>8687</v>
      </c>
      <c r="E4608" s="435"/>
    </row>
    <row r="4609" spans="4:5">
      <c r="D4609" s="437" t="s">
        <v>8688</v>
      </c>
      <c r="E4609" s="435"/>
    </row>
    <row r="4610" spans="4:5">
      <c r="D4610" s="437" t="s">
        <v>8689</v>
      </c>
      <c r="E4610" s="435"/>
    </row>
    <row r="4611" spans="4:5">
      <c r="D4611" s="437" t="s">
        <v>8689</v>
      </c>
      <c r="E4611" s="435"/>
    </row>
    <row r="4612" spans="4:5">
      <c r="D4612" s="437" t="s">
        <v>8690</v>
      </c>
      <c r="E4612" s="435"/>
    </row>
    <row r="4613" spans="4:5">
      <c r="D4613" s="434" t="s">
        <v>8691</v>
      </c>
      <c r="E4613" s="435" t="s">
        <v>8672</v>
      </c>
    </row>
    <row r="4614" spans="4:5">
      <c r="D4614" s="437" t="s">
        <v>8692</v>
      </c>
      <c r="E4614" s="435"/>
    </row>
    <row r="4615" spans="4:5">
      <c r="D4615" s="437" t="s">
        <v>8693</v>
      </c>
      <c r="E4615" s="435"/>
    </row>
    <row r="4616" spans="4:5">
      <c r="D4616" s="437" t="s">
        <v>8694</v>
      </c>
      <c r="E4616" s="435"/>
    </row>
    <row r="4617" spans="4:5">
      <c r="D4617" s="437" t="s">
        <v>8695</v>
      </c>
      <c r="E4617" s="435"/>
    </row>
    <row r="4618" spans="4:5">
      <c r="D4618" s="437" t="s">
        <v>8696</v>
      </c>
      <c r="E4618" s="435"/>
    </row>
    <row r="4619" spans="4:5">
      <c r="D4619" s="437" t="s">
        <v>8697</v>
      </c>
      <c r="E4619" s="435"/>
    </row>
    <row r="4620" spans="4:5">
      <c r="D4620" s="437" t="s">
        <v>8698</v>
      </c>
      <c r="E4620" s="435"/>
    </row>
    <row r="4621" spans="4:5">
      <c r="D4621" s="437" t="s">
        <v>8699</v>
      </c>
      <c r="E4621" s="435"/>
    </row>
    <row r="4622" spans="4:5">
      <c r="D4622" s="437" t="s">
        <v>8700</v>
      </c>
      <c r="E4622" s="435"/>
    </row>
    <row r="4623" spans="4:5">
      <c r="D4623" s="437" t="s">
        <v>8701</v>
      </c>
      <c r="E4623" s="435"/>
    </row>
    <row r="4624" spans="4:5">
      <c r="D4624" s="437" t="s">
        <v>8702</v>
      </c>
      <c r="E4624" s="435"/>
    </row>
    <row r="4625" spans="4:5">
      <c r="D4625" s="437" t="s">
        <v>8703</v>
      </c>
      <c r="E4625" s="435"/>
    </row>
    <row r="4626" spans="4:5">
      <c r="D4626" s="437" t="s">
        <v>8704</v>
      </c>
      <c r="E4626" s="435"/>
    </row>
    <row r="4627" spans="4:5">
      <c r="D4627" s="434" t="s">
        <v>8705</v>
      </c>
      <c r="E4627" s="435" t="s">
        <v>8672</v>
      </c>
    </row>
    <row r="4628" spans="4:5">
      <c r="D4628" s="437" t="s">
        <v>8706</v>
      </c>
      <c r="E4628" s="435"/>
    </row>
    <row r="4629" spans="4:5">
      <c r="D4629" s="434" t="s">
        <v>534</v>
      </c>
      <c r="E4629" s="435" t="s">
        <v>8707</v>
      </c>
    </row>
    <row r="4630" spans="4:5">
      <c r="D4630" s="434" t="s">
        <v>8708</v>
      </c>
      <c r="E4630" s="435" t="s">
        <v>8707</v>
      </c>
    </row>
    <row r="4631" spans="4:5">
      <c r="D4631" s="437" t="s">
        <v>8709</v>
      </c>
      <c r="E4631" s="435"/>
    </row>
    <row r="4632" spans="4:5">
      <c r="D4632" s="437" t="s">
        <v>8710</v>
      </c>
      <c r="E4632" s="435"/>
    </row>
    <row r="4633" spans="4:5">
      <c r="D4633" s="437" t="s">
        <v>8711</v>
      </c>
      <c r="E4633" s="435"/>
    </row>
    <row r="4634" spans="4:5">
      <c r="D4634" s="437" t="s">
        <v>8712</v>
      </c>
      <c r="E4634" s="435"/>
    </row>
    <row r="4635" spans="4:5">
      <c r="D4635" s="437" t="s">
        <v>8713</v>
      </c>
      <c r="E4635" s="435"/>
    </row>
    <row r="4636" spans="4:5">
      <c r="D4636" s="437" t="s">
        <v>8714</v>
      </c>
      <c r="E4636" s="435"/>
    </row>
    <row r="4637" spans="4:5">
      <c r="D4637" s="434" t="s">
        <v>531</v>
      </c>
      <c r="E4637" s="435" t="s">
        <v>8715</v>
      </c>
    </row>
    <row r="4638" spans="4:5">
      <c r="D4638" s="437" t="s">
        <v>8716</v>
      </c>
      <c r="E4638" s="435"/>
    </row>
    <row r="4639" spans="4:5">
      <c r="D4639" s="437" t="s">
        <v>8717</v>
      </c>
      <c r="E4639" s="435"/>
    </row>
    <row r="4640" spans="4:5">
      <c r="D4640" s="437" t="s">
        <v>8718</v>
      </c>
      <c r="E4640" s="435"/>
    </row>
    <row r="4641" spans="4:5">
      <c r="D4641" s="434" t="s">
        <v>810</v>
      </c>
      <c r="E4641" s="435" t="s">
        <v>8719</v>
      </c>
    </row>
    <row r="4642" spans="4:5">
      <c r="D4642" s="437" t="s">
        <v>8720</v>
      </c>
      <c r="E4642" s="435"/>
    </row>
    <row r="4643" spans="4:5">
      <c r="D4643" s="437" t="s">
        <v>8721</v>
      </c>
      <c r="E4643" s="435"/>
    </row>
    <row r="4644" spans="4:5">
      <c r="D4644" s="437" t="s">
        <v>8722</v>
      </c>
      <c r="E4644" s="435"/>
    </row>
    <row r="4645" spans="4:5">
      <c r="D4645" s="437" t="s">
        <v>8723</v>
      </c>
      <c r="E4645" s="435"/>
    </row>
    <row r="4646" spans="4:5">
      <c r="D4646" s="437" t="s">
        <v>8724</v>
      </c>
      <c r="E4646" s="435"/>
    </row>
    <row r="4647" spans="4:5">
      <c r="D4647" s="437" t="s">
        <v>8725</v>
      </c>
      <c r="E4647" s="435"/>
    </row>
    <row r="4648" spans="4:5">
      <c r="D4648" s="437" t="s">
        <v>8726</v>
      </c>
      <c r="E4648" s="435"/>
    </row>
    <row r="4649" spans="4:5">
      <c r="D4649" s="434" t="s">
        <v>8727</v>
      </c>
      <c r="E4649" s="435" t="s">
        <v>8728</v>
      </c>
    </row>
    <row r="4650" spans="4:5">
      <c r="D4650" s="437" t="s">
        <v>8729</v>
      </c>
      <c r="E4650" s="435"/>
    </row>
    <row r="4651" spans="4:5">
      <c r="D4651" s="437" t="s">
        <v>8730</v>
      </c>
      <c r="E4651" s="435"/>
    </row>
    <row r="4652" spans="4:5">
      <c r="D4652" s="437" t="s">
        <v>8731</v>
      </c>
      <c r="E4652" s="435"/>
    </row>
    <row r="4653" spans="4:5">
      <c r="D4653" s="437" t="s">
        <v>8732</v>
      </c>
      <c r="E4653" s="435"/>
    </row>
    <row r="4654" spans="4:5">
      <c r="D4654" s="437" t="s">
        <v>8733</v>
      </c>
      <c r="E4654" s="435"/>
    </row>
    <row r="4655" spans="4:5">
      <c r="D4655" s="437" t="s">
        <v>8734</v>
      </c>
      <c r="E4655" s="435"/>
    </row>
    <row r="4656" spans="4:5">
      <c r="D4656" s="437" t="s">
        <v>8735</v>
      </c>
      <c r="E4656" s="435"/>
    </row>
    <row r="4657" spans="4:5">
      <c r="D4657" s="437" t="s">
        <v>8736</v>
      </c>
      <c r="E4657" s="435"/>
    </row>
    <row r="4658" spans="4:5">
      <c r="D4658" s="437" t="s">
        <v>8737</v>
      </c>
      <c r="E4658" s="435"/>
    </row>
    <row r="4659" spans="4:5">
      <c r="D4659" s="437" t="s">
        <v>8738</v>
      </c>
      <c r="E4659" s="435"/>
    </row>
    <row r="4660" spans="4:5">
      <c r="D4660" s="437" t="s">
        <v>8739</v>
      </c>
      <c r="E4660" s="435"/>
    </row>
    <row r="4661" spans="4:5">
      <c r="D4661" s="437" t="s">
        <v>8740</v>
      </c>
      <c r="E4661" s="435"/>
    </row>
    <row r="4662" spans="4:5">
      <c r="D4662" s="434" t="s">
        <v>807</v>
      </c>
      <c r="E4662" s="435" t="s">
        <v>8741</v>
      </c>
    </row>
    <row r="4663" spans="4:5">
      <c r="D4663" s="434" t="s">
        <v>8742</v>
      </c>
      <c r="E4663" s="435" t="s">
        <v>8741</v>
      </c>
    </row>
    <row r="4664" spans="4:5">
      <c r="D4664" s="437" t="s">
        <v>8743</v>
      </c>
      <c r="E4664" s="435"/>
    </row>
    <row r="4665" spans="4:5">
      <c r="D4665" s="437" t="s">
        <v>8744</v>
      </c>
      <c r="E4665" s="435"/>
    </row>
    <row r="4666" spans="4:5">
      <c r="D4666" s="437" t="s">
        <v>8745</v>
      </c>
      <c r="E4666" s="435"/>
    </row>
    <row r="4667" spans="4:5">
      <c r="D4667" s="434" t="s">
        <v>8746</v>
      </c>
      <c r="E4667" s="435" t="s">
        <v>8747</v>
      </c>
    </row>
    <row r="4668" spans="4:5">
      <c r="D4668" s="437" t="s">
        <v>8748</v>
      </c>
      <c r="E4668" s="435"/>
    </row>
    <row r="4669" spans="4:5">
      <c r="D4669" s="437" t="s">
        <v>8749</v>
      </c>
      <c r="E4669" s="435"/>
    </row>
    <row r="4670" spans="4:5">
      <c r="D4670" s="437" t="s">
        <v>8750</v>
      </c>
      <c r="E4670" s="435"/>
    </row>
    <row r="4671" spans="4:5">
      <c r="D4671" s="437" t="s">
        <v>8751</v>
      </c>
      <c r="E4671" s="435"/>
    </row>
    <row r="4672" spans="4:5">
      <c r="D4672" s="434" t="s">
        <v>811</v>
      </c>
      <c r="E4672" s="435" t="s">
        <v>8752</v>
      </c>
    </row>
    <row r="4673" spans="4:5">
      <c r="D4673" s="434" t="s">
        <v>8753</v>
      </c>
      <c r="E4673" s="435" t="s">
        <v>8752</v>
      </c>
    </row>
    <row r="4674" spans="4:5">
      <c r="D4674" s="437" t="s">
        <v>8754</v>
      </c>
      <c r="E4674" s="435"/>
    </row>
    <row r="4675" spans="4:5">
      <c r="D4675" s="437" t="s">
        <v>8755</v>
      </c>
      <c r="E4675" s="435"/>
    </row>
    <row r="4676" spans="4:5">
      <c r="D4676" s="437" t="s">
        <v>8756</v>
      </c>
      <c r="E4676" s="435"/>
    </row>
    <row r="4677" spans="4:5">
      <c r="D4677" s="437" t="s">
        <v>8757</v>
      </c>
      <c r="E4677" s="435"/>
    </row>
    <row r="4678" spans="4:5">
      <c r="D4678" s="437" t="s">
        <v>8758</v>
      </c>
      <c r="E4678" s="435"/>
    </row>
    <row r="4679" spans="4:5">
      <c r="D4679" s="437" t="s">
        <v>8759</v>
      </c>
      <c r="E4679" s="435"/>
    </row>
    <row r="4680" spans="4:5">
      <c r="D4680" s="437" t="s">
        <v>8760</v>
      </c>
      <c r="E4680" s="435"/>
    </row>
    <row r="4681" spans="4:5">
      <c r="D4681" s="434" t="s">
        <v>812</v>
      </c>
      <c r="E4681" s="435" t="s">
        <v>8761</v>
      </c>
    </row>
    <row r="4682" spans="4:5">
      <c r="D4682" s="434" t="s">
        <v>8762</v>
      </c>
      <c r="E4682" s="435" t="s">
        <v>8763</v>
      </c>
    </row>
    <row r="4683" spans="4:5">
      <c r="D4683" s="437" t="s">
        <v>8764</v>
      </c>
      <c r="E4683" s="435"/>
    </row>
    <row r="4684" spans="4:5">
      <c r="D4684" s="437" t="s">
        <v>8765</v>
      </c>
      <c r="E4684" s="435"/>
    </row>
    <row r="4685" spans="4:5">
      <c r="D4685" s="434" t="s">
        <v>8766</v>
      </c>
      <c r="E4685" s="435" t="s">
        <v>8761</v>
      </c>
    </row>
    <row r="4686" spans="4:5">
      <c r="D4686" s="437" t="s">
        <v>8767</v>
      </c>
      <c r="E4686" s="435"/>
    </row>
    <row r="4687" spans="4:5">
      <c r="D4687" s="437" t="s">
        <v>8768</v>
      </c>
      <c r="E4687" s="435"/>
    </row>
    <row r="4688" spans="4:5">
      <c r="D4688" s="437" t="s">
        <v>8769</v>
      </c>
      <c r="E4688" s="435"/>
    </row>
    <row r="4689" spans="4:5">
      <c r="D4689" s="437" t="s">
        <v>8770</v>
      </c>
      <c r="E4689" s="435"/>
    </row>
    <row r="4690" spans="4:5">
      <c r="D4690" s="437" t="s">
        <v>8771</v>
      </c>
      <c r="E4690" s="435"/>
    </row>
    <row r="4691" spans="4:5">
      <c r="D4691" s="437" t="s">
        <v>8772</v>
      </c>
      <c r="E4691" s="435"/>
    </row>
    <row r="4692" spans="4:5">
      <c r="D4692" s="437" t="s">
        <v>8773</v>
      </c>
      <c r="E4692" s="435"/>
    </row>
    <row r="4693" spans="4:5">
      <c r="D4693" s="437" t="s">
        <v>8774</v>
      </c>
      <c r="E4693" s="435"/>
    </row>
    <row r="4694" spans="4:5">
      <c r="D4694" s="437" t="s">
        <v>8775</v>
      </c>
      <c r="E4694" s="435"/>
    </row>
    <row r="4695" spans="4:5">
      <c r="D4695" s="437" t="s">
        <v>8776</v>
      </c>
      <c r="E4695" s="435"/>
    </row>
    <row r="4696" spans="4:5">
      <c r="D4696" s="434" t="s">
        <v>8777</v>
      </c>
      <c r="E4696" s="435" t="s">
        <v>8761</v>
      </c>
    </row>
    <row r="4697" spans="4:5">
      <c r="D4697" s="437" t="s">
        <v>8778</v>
      </c>
      <c r="E4697" s="435"/>
    </row>
    <row r="4698" spans="4:5">
      <c r="D4698" s="437" t="s">
        <v>8779</v>
      </c>
      <c r="E4698" s="435"/>
    </row>
    <row r="4699" spans="4:5">
      <c r="D4699" s="434" t="s">
        <v>813</v>
      </c>
      <c r="E4699" s="435" t="s">
        <v>8780</v>
      </c>
    </row>
    <row r="4700" spans="4:5">
      <c r="D4700" s="437" t="s">
        <v>8781</v>
      </c>
      <c r="E4700" s="435"/>
    </row>
    <row r="4701" spans="4:5">
      <c r="D4701" s="434" t="s">
        <v>535</v>
      </c>
      <c r="E4701" s="435" t="s">
        <v>8782</v>
      </c>
    </row>
    <row r="4702" spans="4:5">
      <c r="D4702" s="434" t="s">
        <v>8783</v>
      </c>
      <c r="E4702" s="435" t="s">
        <v>8782</v>
      </c>
    </row>
    <row r="4703" spans="4:5">
      <c r="D4703" s="437" t="s">
        <v>8784</v>
      </c>
      <c r="E4703" s="435"/>
    </row>
    <row r="4704" spans="4:5">
      <c r="D4704" s="437" t="s">
        <v>8785</v>
      </c>
      <c r="E4704" s="435"/>
    </row>
    <row r="4705" spans="4:5">
      <c r="D4705" s="437" t="s">
        <v>8786</v>
      </c>
      <c r="E4705" s="435"/>
    </row>
    <row r="4706" spans="4:5">
      <c r="D4706" s="437" t="s">
        <v>8787</v>
      </c>
      <c r="E4706" s="435"/>
    </row>
    <row r="4707" spans="4:5">
      <c r="D4707" s="437" t="s">
        <v>8788</v>
      </c>
      <c r="E4707" s="435"/>
    </row>
    <row r="4708" spans="4:5">
      <c r="D4708" s="437" t="s">
        <v>8789</v>
      </c>
      <c r="E4708" s="435"/>
    </row>
    <row r="4709" spans="4:5">
      <c r="D4709" s="437" t="s">
        <v>8790</v>
      </c>
      <c r="E4709" s="435"/>
    </row>
    <row r="4710" spans="4:5">
      <c r="D4710" s="437" t="s">
        <v>8791</v>
      </c>
      <c r="E4710" s="435"/>
    </row>
    <row r="4711" spans="4:5">
      <c r="D4711" s="437" t="s">
        <v>8792</v>
      </c>
      <c r="E4711" s="435"/>
    </row>
    <row r="4712" spans="4:5">
      <c r="D4712" s="437" t="s">
        <v>8793</v>
      </c>
      <c r="E4712" s="435"/>
    </row>
    <row r="4713" spans="4:5">
      <c r="D4713" s="437" t="s">
        <v>8794</v>
      </c>
      <c r="E4713" s="435"/>
    </row>
    <row r="4714" spans="4:5">
      <c r="D4714" s="437" t="s">
        <v>8795</v>
      </c>
      <c r="E4714" s="435"/>
    </row>
    <row r="4715" spans="4:5">
      <c r="D4715" s="437" t="s">
        <v>8796</v>
      </c>
      <c r="E4715" s="435"/>
    </row>
    <row r="4716" spans="4:5">
      <c r="D4716" s="437" t="s">
        <v>8797</v>
      </c>
      <c r="E4716" s="435"/>
    </row>
    <row r="4717" spans="4:5">
      <c r="D4717" s="437" t="s">
        <v>8798</v>
      </c>
      <c r="E4717" s="435"/>
    </row>
    <row r="4718" spans="4:5">
      <c r="D4718" s="437" t="s">
        <v>8799</v>
      </c>
      <c r="E4718" s="435"/>
    </row>
    <row r="4719" spans="4:5">
      <c r="D4719" s="437" t="s">
        <v>8800</v>
      </c>
      <c r="E4719" s="435"/>
    </row>
    <row r="4720" spans="4:5">
      <c r="D4720" s="434" t="s">
        <v>599</v>
      </c>
      <c r="E4720" s="435" t="s">
        <v>8801</v>
      </c>
    </row>
    <row r="4721" spans="4:5">
      <c r="D4721" s="437" t="s">
        <v>8802</v>
      </c>
      <c r="E4721" s="435"/>
    </row>
    <row r="4722" spans="4:5">
      <c r="D4722" s="437" t="s">
        <v>8803</v>
      </c>
      <c r="E4722" s="435"/>
    </row>
    <row r="4723" spans="4:5">
      <c r="D4723" s="437" t="s">
        <v>8804</v>
      </c>
      <c r="E4723" s="435"/>
    </row>
    <row r="4724" spans="4:5">
      <c r="D4724" s="434" t="s">
        <v>600</v>
      </c>
      <c r="E4724" s="435" t="s">
        <v>8805</v>
      </c>
    </row>
    <row r="4725" spans="4:5">
      <c r="D4725" s="437" t="s">
        <v>8806</v>
      </c>
      <c r="E4725" s="435"/>
    </row>
    <row r="4726" spans="4:5">
      <c r="D4726" s="437" t="s">
        <v>8807</v>
      </c>
      <c r="E4726" s="435"/>
    </row>
    <row r="4727" spans="4:5">
      <c r="D4727" s="434" t="s">
        <v>8808</v>
      </c>
      <c r="E4727" s="435" t="s">
        <v>8809</v>
      </c>
    </row>
    <row r="4728" spans="4:5">
      <c r="D4728" s="437" t="s">
        <v>8810</v>
      </c>
      <c r="E4728" s="435"/>
    </row>
    <row r="4729" spans="4:5">
      <c r="D4729" s="434" t="s">
        <v>814</v>
      </c>
      <c r="E4729" s="435" t="s">
        <v>8811</v>
      </c>
    </row>
    <row r="4730" spans="4:5">
      <c r="D4730" s="437" t="s">
        <v>8812</v>
      </c>
      <c r="E4730" s="435"/>
    </row>
    <row r="4731" spans="4:5">
      <c r="D4731" s="437" t="s">
        <v>8619</v>
      </c>
      <c r="E4731" s="435"/>
    </row>
    <row r="4732" spans="4:5">
      <c r="D4732" s="437" t="s">
        <v>8813</v>
      </c>
      <c r="E4732" s="435"/>
    </row>
    <row r="4733" spans="4:5">
      <c r="D4733" s="437" t="s">
        <v>8814</v>
      </c>
      <c r="E4733" s="435"/>
    </row>
    <row r="4734" spans="4:5">
      <c r="D4734" s="434" t="s">
        <v>8815</v>
      </c>
      <c r="E4734" s="435"/>
    </row>
    <row r="4735" spans="4:5">
      <c r="D4735" s="437" t="s">
        <v>8816</v>
      </c>
      <c r="E4735" s="435"/>
    </row>
    <row r="4736" spans="4:5">
      <c r="D4736" s="437" t="s">
        <v>8817</v>
      </c>
      <c r="E4736" s="435"/>
    </row>
    <row r="4737" spans="4:5">
      <c r="D4737" s="434" t="s">
        <v>8818</v>
      </c>
      <c r="E4737" s="435" t="s">
        <v>8819</v>
      </c>
    </row>
    <row r="4738" spans="4:5">
      <c r="D4738" s="437" t="s">
        <v>8820</v>
      </c>
      <c r="E4738" s="435"/>
    </row>
    <row r="4739" spans="4:5">
      <c r="D4739" s="434" t="s">
        <v>8821</v>
      </c>
      <c r="E4739" s="435" t="s">
        <v>8822</v>
      </c>
    </row>
    <row r="4740" spans="4:5">
      <c r="D4740" s="434" t="s">
        <v>8823</v>
      </c>
      <c r="E4740" s="435" t="s">
        <v>8824</v>
      </c>
    </row>
    <row r="4741" spans="4:5">
      <c r="D4741" s="434" t="s">
        <v>8825</v>
      </c>
      <c r="E4741" s="435" t="s">
        <v>8826</v>
      </c>
    </row>
    <row r="4742" spans="4:5">
      <c r="D4742" s="437" t="s">
        <v>8827</v>
      </c>
      <c r="E4742" s="435"/>
    </row>
    <row r="4743" spans="4:5">
      <c r="D4743" s="437" t="s">
        <v>8828</v>
      </c>
      <c r="E4743" s="435"/>
    </row>
    <row r="4744" spans="4:5">
      <c r="D4744" s="437" t="s">
        <v>8829</v>
      </c>
      <c r="E4744" s="435"/>
    </row>
    <row r="4745" spans="4:5">
      <c r="D4745" s="437" t="s">
        <v>8830</v>
      </c>
      <c r="E4745" s="435"/>
    </row>
    <row r="4746" spans="4:5">
      <c r="D4746" s="437" t="s">
        <v>8831</v>
      </c>
      <c r="E4746" s="435"/>
    </row>
    <row r="4747" spans="4:5">
      <c r="D4747" s="434" t="s">
        <v>8832</v>
      </c>
      <c r="E4747" s="435" t="s">
        <v>8833</v>
      </c>
    </row>
    <row r="4748" spans="4:5">
      <c r="D4748" s="434" t="s">
        <v>8834</v>
      </c>
      <c r="E4748" s="435" t="s">
        <v>8833</v>
      </c>
    </row>
    <row r="4749" spans="4:5">
      <c r="D4749" s="437" t="s">
        <v>8835</v>
      </c>
      <c r="E4749" s="435"/>
    </row>
    <row r="4750" spans="4:5">
      <c r="D4750" s="437" t="s">
        <v>8836</v>
      </c>
      <c r="E4750" s="435"/>
    </row>
    <row r="4751" spans="4:5">
      <c r="D4751" s="437" t="s">
        <v>8837</v>
      </c>
      <c r="E4751" s="435"/>
    </row>
    <row r="4752" spans="4:5">
      <c r="D4752" s="437" t="s">
        <v>8838</v>
      </c>
      <c r="E4752" s="435"/>
    </row>
    <row r="4753" spans="4:5">
      <c r="D4753" s="434" t="s">
        <v>8839</v>
      </c>
      <c r="E4753" s="435" t="s">
        <v>8840</v>
      </c>
    </row>
    <row r="4754" spans="4:5">
      <c r="D4754" s="437" t="s">
        <v>8841</v>
      </c>
      <c r="E4754" s="435"/>
    </row>
    <row r="4755" spans="4:5">
      <c r="D4755" s="437" t="s">
        <v>8842</v>
      </c>
      <c r="E4755" s="435"/>
    </row>
    <row r="4756" spans="4:5">
      <c r="D4756" s="437" t="s">
        <v>8843</v>
      </c>
      <c r="E4756" s="435"/>
    </row>
    <row r="4757" spans="4:5">
      <c r="D4757" s="437" t="s">
        <v>8844</v>
      </c>
      <c r="E4757" s="435"/>
    </row>
    <row r="4758" spans="4:5">
      <c r="D4758" s="437" t="s">
        <v>8845</v>
      </c>
      <c r="E4758" s="435"/>
    </row>
    <row r="4759" spans="4:5">
      <c r="D4759" s="437" t="s">
        <v>8846</v>
      </c>
      <c r="E4759" s="435"/>
    </row>
    <row r="4760" spans="4:5">
      <c r="D4760" s="434" t="s">
        <v>8847</v>
      </c>
      <c r="E4760" s="435" t="s">
        <v>8848</v>
      </c>
    </row>
    <row r="4761" spans="4:5">
      <c r="D4761" s="437" t="s">
        <v>8849</v>
      </c>
      <c r="E4761" s="435"/>
    </row>
    <row r="4762" spans="4:5">
      <c r="D4762" s="437" t="s">
        <v>8850</v>
      </c>
      <c r="E4762" s="435"/>
    </row>
    <row r="4763" spans="4:5">
      <c r="D4763" s="434" t="s">
        <v>8851</v>
      </c>
      <c r="E4763" s="435" t="s">
        <v>8852</v>
      </c>
    </row>
    <row r="4764" spans="4:5">
      <c r="D4764" s="434" t="s">
        <v>8853</v>
      </c>
      <c r="E4764" s="435" t="s">
        <v>8854</v>
      </c>
    </row>
    <row r="4765" spans="4:5">
      <c r="D4765" s="437" t="s">
        <v>8855</v>
      </c>
      <c r="E4765" s="435"/>
    </row>
    <row r="4766" spans="4:5">
      <c r="D4766" s="434" t="s">
        <v>765</v>
      </c>
      <c r="E4766" s="435" t="s">
        <v>8856</v>
      </c>
    </row>
    <row r="4767" spans="4:5">
      <c r="D4767" s="437" t="s">
        <v>8857</v>
      </c>
      <c r="E4767" s="435"/>
    </row>
    <row r="4768" spans="4:5">
      <c r="D4768" s="437" t="s">
        <v>8858</v>
      </c>
      <c r="E4768" s="435"/>
    </row>
    <row r="4769" spans="4:5">
      <c r="D4769" s="434" t="s">
        <v>8859</v>
      </c>
      <c r="E4769" s="435" t="s">
        <v>8860</v>
      </c>
    </row>
    <row r="4770" spans="4:5">
      <c r="D4770" s="437" t="s">
        <v>8861</v>
      </c>
      <c r="E4770" s="435"/>
    </row>
    <row r="4771" spans="4:5">
      <c r="D4771" s="437" t="s">
        <v>8862</v>
      </c>
      <c r="E4771" s="435"/>
    </row>
    <row r="4772" spans="4:5">
      <c r="D4772" s="434" t="s">
        <v>8863</v>
      </c>
      <c r="E4772" s="435" t="s">
        <v>8864</v>
      </c>
    </row>
    <row r="4773" spans="4:5">
      <c r="D4773" s="434" t="s">
        <v>8865</v>
      </c>
      <c r="E4773" s="435" t="s">
        <v>8864</v>
      </c>
    </row>
    <row r="4774" spans="4:5">
      <c r="D4774" s="437" t="s">
        <v>8866</v>
      </c>
      <c r="E4774" s="435"/>
    </row>
    <row r="4775" spans="4:5">
      <c r="D4775" s="437" t="s">
        <v>8867</v>
      </c>
      <c r="E4775" s="435"/>
    </row>
    <row r="4776" spans="4:5">
      <c r="D4776" s="437" t="s">
        <v>8868</v>
      </c>
      <c r="E4776" s="435"/>
    </row>
    <row r="4777" spans="4:5">
      <c r="D4777" s="437" t="s">
        <v>8869</v>
      </c>
      <c r="E4777" s="435"/>
    </row>
    <row r="4778" spans="4:5">
      <c r="D4778" s="437" t="s">
        <v>8870</v>
      </c>
      <c r="E4778" s="435"/>
    </row>
    <row r="4779" spans="4:5">
      <c r="D4779" s="434" t="s">
        <v>8871</v>
      </c>
      <c r="E4779" s="435" t="s">
        <v>8872</v>
      </c>
    </row>
    <row r="4780" spans="4:5">
      <c r="D4780" s="437" t="s">
        <v>8873</v>
      </c>
      <c r="E4780" s="435"/>
    </row>
    <row r="4781" spans="4:5">
      <c r="D4781" s="434" t="s">
        <v>8874</v>
      </c>
      <c r="E4781" s="435" t="s">
        <v>8875</v>
      </c>
    </row>
    <row r="4782" spans="4:5">
      <c r="D4782" s="434" t="s">
        <v>8876</v>
      </c>
      <c r="E4782" s="435" t="s">
        <v>8875</v>
      </c>
    </row>
    <row r="4783" spans="4:5">
      <c r="D4783" s="434" t="s">
        <v>8877</v>
      </c>
      <c r="E4783" s="435" t="s">
        <v>8878</v>
      </c>
    </row>
    <row r="4784" spans="4:5">
      <c r="D4784" s="434" t="s">
        <v>8879</v>
      </c>
      <c r="E4784" s="435" t="s">
        <v>8878</v>
      </c>
    </row>
    <row r="4785" spans="4:5">
      <c r="D4785" s="437" t="s">
        <v>8880</v>
      </c>
      <c r="E4785" s="435"/>
    </row>
    <row r="4786" spans="4:5">
      <c r="D4786" s="434" t="s">
        <v>8881</v>
      </c>
      <c r="E4786" s="435" t="s">
        <v>8882</v>
      </c>
    </row>
    <row r="4787" spans="4:5">
      <c r="D4787" s="437" t="s">
        <v>8883</v>
      </c>
      <c r="E4787" s="435"/>
    </row>
    <row r="4788" spans="4:5">
      <c r="D4788" s="437" t="s">
        <v>8884</v>
      </c>
      <c r="E4788" s="435"/>
    </row>
    <row r="4789" spans="4:5">
      <c r="D4789" s="437" t="s">
        <v>8885</v>
      </c>
      <c r="E4789" s="435"/>
    </row>
    <row r="4790" spans="4:5">
      <c r="D4790" s="437" t="s">
        <v>8886</v>
      </c>
      <c r="E4790" s="435"/>
    </row>
    <row r="4791" spans="4:5">
      <c r="D4791" s="437" t="s">
        <v>8887</v>
      </c>
      <c r="E4791" s="435"/>
    </row>
    <row r="4792" spans="4:5">
      <c r="D4792" s="434" t="s">
        <v>8888</v>
      </c>
      <c r="E4792" s="435" t="s">
        <v>8889</v>
      </c>
    </row>
    <row r="4793" spans="4:5">
      <c r="D4793" s="434" t="s">
        <v>8890</v>
      </c>
      <c r="E4793" s="435" t="s">
        <v>8891</v>
      </c>
    </row>
    <row r="4794" spans="4:5">
      <c r="D4794" s="434" t="s">
        <v>8892</v>
      </c>
      <c r="E4794" s="435" t="s">
        <v>8891</v>
      </c>
    </row>
    <row r="4795" spans="4:5">
      <c r="D4795" s="437" t="s">
        <v>8893</v>
      </c>
      <c r="E4795" s="435"/>
    </row>
    <row r="4796" spans="4:5">
      <c r="D4796" s="434" t="s">
        <v>8894</v>
      </c>
      <c r="E4796" s="435" t="s">
        <v>8895</v>
      </c>
    </row>
    <row r="4797" spans="4:5">
      <c r="D4797" s="437" t="s">
        <v>8896</v>
      </c>
      <c r="E4797" s="435"/>
    </row>
    <row r="4798" spans="4:5">
      <c r="D4798" s="437" t="s">
        <v>8897</v>
      </c>
      <c r="E4798" s="435"/>
    </row>
    <row r="4799" spans="4:5">
      <c r="D4799" s="437" t="s">
        <v>8898</v>
      </c>
      <c r="E4799" s="435"/>
    </row>
    <row r="4800" spans="4:5">
      <c r="D4800" s="437" t="s">
        <v>8899</v>
      </c>
      <c r="E4800" s="435"/>
    </row>
    <row r="4801" spans="4:5">
      <c r="D4801" s="437" t="s">
        <v>8900</v>
      </c>
      <c r="E4801" s="435"/>
    </row>
    <row r="4802" spans="4:5">
      <c r="D4802" s="434" t="s">
        <v>8901</v>
      </c>
      <c r="E4802" s="435" t="s">
        <v>8902</v>
      </c>
    </row>
    <row r="4803" spans="4:5">
      <c r="D4803" s="437" t="s">
        <v>8903</v>
      </c>
      <c r="E4803" s="435"/>
    </row>
    <row r="4804" spans="4:5">
      <c r="D4804" s="437" t="s">
        <v>8904</v>
      </c>
      <c r="E4804" s="435"/>
    </row>
    <row r="4805" spans="4:5">
      <c r="D4805" s="437" t="s">
        <v>8905</v>
      </c>
      <c r="E4805" s="435"/>
    </row>
    <row r="4806" spans="4:5">
      <c r="D4806" s="437" t="s">
        <v>8906</v>
      </c>
      <c r="E4806" s="435"/>
    </row>
    <row r="4807" spans="4:5">
      <c r="D4807" s="437" t="s">
        <v>8907</v>
      </c>
      <c r="E4807" s="435"/>
    </row>
    <row r="4808" spans="4:5">
      <c r="D4808" s="437" t="s">
        <v>8908</v>
      </c>
      <c r="E4808" s="435"/>
    </row>
    <row r="4809" spans="4:5">
      <c r="D4809" s="437" t="s">
        <v>8909</v>
      </c>
      <c r="E4809" s="435"/>
    </row>
    <row r="4810" spans="4:5">
      <c r="D4810" s="434" t="s">
        <v>769</v>
      </c>
      <c r="E4810" s="435" t="s">
        <v>8910</v>
      </c>
    </row>
    <row r="4811" spans="4:5">
      <c r="D4811" s="437" t="s">
        <v>8911</v>
      </c>
      <c r="E4811" s="435"/>
    </row>
    <row r="4812" spans="4:5">
      <c r="D4812" s="437" t="s">
        <v>8912</v>
      </c>
      <c r="E4812" s="435"/>
    </row>
    <row r="4813" spans="4:5">
      <c r="D4813" s="437" t="s">
        <v>8913</v>
      </c>
      <c r="E4813" s="435"/>
    </row>
    <row r="4814" spans="4:5">
      <c r="D4814" s="437" t="s">
        <v>8914</v>
      </c>
      <c r="E4814" s="435"/>
    </row>
    <row r="4815" spans="4:5">
      <c r="D4815" s="434" t="s">
        <v>8915</v>
      </c>
      <c r="E4815" s="435" t="s">
        <v>8916</v>
      </c>
    </row>
    <row r="4816" spans="4:5">
      <c r="D4816" s="437" t="s">
        <v>8917</v>
      </c>
      <c r="E4816" s="435"/>
    </row>
    <row r="4817" spans="4:5">
      <c r="D4817" s="437" t="s">
        <v>8918</v>
      </c>
      <c r="E4817" s="435"/>
    </row>
    <row r="4818" spans="4:5">
      <c r="D4818" s="437" t="s">
        <v>8919</v>
      </c>
      <c r="E4818" s="435"/>
    </row>
    <row r="4819" spans="4:5">
      <c r="D4819" s="434" t="s">
        <v>8920</v>
      </c>
      <c r="E4819" s="435" t="s">
        <v>8921</v>
      </c>
    </row>
    <row r="4820" spans="4:5">
      <c r="D4820" s="437" t="s">
        <v>8922</v>
      </c>
      <c r="E4820" s="435"/>
    </row>
    <row r="4821" spans="4:5">
      <c r="D4821" s="437" t="s">
        <v>8923</v>
      </c>
      <c r="E4821" s="435"/>
    </row>
    <row r="4822" spans="4:5">
      <c r="D4822" s="434" t="s">
        <v>8924</v>
      </c>
      <c r="E4822" s="435" t="s">
        <v>8925</v>
      </c>
    </row>
    <row r="4823" spans="4:5">
      <c r="D4823" s="437" t="s">
        <v>8926</v>
      </c>
      <c r="E4823" s="435"/>
    </row>
    <row r="4824" spans="4:5">
      <c r="D4824" s="434" t="s">
        <v>8927</v>
      </c>
      <c r="E4824" s="435" t="s">
        <v>8928</v>
      </c>
    </row>
    <row r="4825" spans="4:5">
      <c r="D4825" s="437" t="s">
        <v>8929</v>
      </c>
      <c r="E4825" s="435"/>
    </row>
    <row r="4826" spans="4:5">
      <c r="D4826" s="434" t="s">
        <v>8930</v>
      </c>
      <c r="E4826" s="435" t="s">
        <v>8931</v>
      </c>
    </row>
    <row r="4827" spans="4:5">
      <c r="D4827" s="437" t="s">
        <v>8932</v>
      </c>
      <c r="E4827" s="435"/>
    </row>
    <row r="4828" spans="4:5">
      <c r="D4828" s="437" t="s">
        <v>8933</v>
      </c>
      <c r="E4828" s="435"/>
    </row>
    <row r="4829" spans="4:5">
      <c r="D4829" s="437" t="s">
        <v>8934</v>
      </c>
      <c r="E4829" s="435"/>
    </row>
    <row r="4830" spans="4:5">
      <c r="D4830" s="437" t="s">
        <v>8935</v>
      </c>
      <c r="E4830" s="435"/>
    </row>
    <row r="4831" spans="4:5">
      <c r="D4831" s="434" t="s">
        <v>8936</v>
      </c>
      <c r="E4831" s="435" t="s">
        <v>8937</v>
      </c>
    </row>
    <row r="4832" spans="4:5">
      <c r="D4832" s="434" t="s">
        <v>8938</v>
      </c>
      <c r="E4832" s="435" t="s">
        <v>8939</v>
      </c>
    </row>
    <row r="4833" spans="4:5">
      <c r="D4833" s="434" t="s">
        <v>8940</v>
      </c>
      <c r="E4833" s="435" t="s">
        <v>8941</v>
      </c>
    </row>
    <row r="4834" spans="4:5">
      <c r="D4834" s="437" t="s">
        <v>8942</v>
      </c>
      <c r="E4834" s="435"/>
    </row>
    <row r="4835" spans="4:5">
      <c r="D4835" s="434" t="s">
        <v>8943</v>
      </c>
      <c r="E4835" s="435" t="s">
        <v>8944</v>
      </c>
    </row>
    <row r="4836" spans="4:5">
      <c r="D4836" s="437" t="s">
        <v>8945</v>
      </c>
      <c r="E4836" s="435"/>
    </row>
    <row r="4837" spans="4:5">
      <c r="D4837" s="437" t="s">
        <v>8946</v>
      </c>
      <c r="E4837" s="435"/>
    </row>
    <row r="4838" spans="4:5">
      <c r="D4838" s="437" t="s">
        <v>8947</v>
      </c>
      <c r="E4838" s="435"/>
    </row>
    <row r="4839" spans="4:5">
      <c r="D4839" s="434" t="s">
        <v>8948</v>
      </c>
      <c r="E4839" s="435" t="s">
        <v>8949</v>
      </c>
    </row>
    <row r="4840" spans="4:5">
      <c r="D4840" s="434" t="s">
        <v>8950</v>
      </c>
      <c r="E4840" s="435" t="s">
        <v>8949</v>
      </c>
    </row>
    <row r="4841" spans="4:5">
      <c r="D4841" s="437" t="s">
        <v>8951</v>
      </c>
      <c r="E4841" s="435"/>
    </row>
    <row r="4842" spans="4:5">
      <c r="D4842" s="434" t="s">
        <v>8952</v>
      </c>
      <c r="E4842" s="435" t="s">
        <v>8953</v>
      </c>
    </row>
    <row r="4843" spans="4:5">
      <c r="D4843" s="437" t="s">
        <v>8954</v>
      </c>
      <c r="E4843" s="435"/>
    </row>
    <row r="4844" spans="4:5">
      <c r="D4844" s="437" t="s">
        <v>8955</v>
      </c>
      <c r="E4844" s="435"/>
    </row>
    <row r="4845" spans="4:5">
      <c r="D4845" s="434" t="s">
        <v>8956</v>
      </c>
      <c r="E4845" s="435" t="s">
        <v>8957</v>
      </c>
    </row>
    <row r="4846" spans="4:5">
      <c r="D4846" s="434" t="s">
        <v>8958</v>
      </c>
      <c r="E4846" s="435" t="s">
        <v>8959</v>
      </c>
    </row>
    <row r="4847" spans="4:5">
      <c r="D4847" s="437" t="s">
        <v>8960</v>
      </c>
      <c r="E4847" s="435"/>
    </row>
    <row r="4848" spans="4:5">
      <c r="D4848" s="434" t="s">
        <v>8961</v>
      </c>
      <c r="E4848" s="435" t="s">
        <v>8962</v>
      </c>
    </row>
    <row r="4849" spans="4:5">
      <c r="D4849" s="437" t="s">
        <v>8963</v>
      </c>
      <c r="E4849" s="435"/>
    </row>
    <row r="4850" spans="4:5">
      <c r="D4850" s="437" t="s">
        <v>8964</v>
      </c>
      <c r="E4850" s="435"/>
    </row>
    <row r="4851" spans="4:5">
      <c r="D4851" s="434" t="s">
        <v>8965</v>
      </c>
      <c r="E4851" s="435"/>
    </row>
    <row r="4852" spans="4:5">
      <c r="D4852" s="434" t="s">
        <v>8966</v>
      </c>
      <c r="E4852" s="435" t="s">
        <v>8967</v>
      </c>
    </row>
    <row r="4853" spans="4:5">
      <c r="D4853" s="434" t="s">
        <v>8968</v>
      </c>
      <c r="E4853" s="435" t="s">
        <v>8969</v>
      </c>
    </row>
    <row r="4854" spans="4:5">
      <c r="D4854" s="434" t="s">
        <v>8970</v>
      </c>
      <c r="E4854" s="435" t="s">
        <v>8971</v>
      </c>
    </row>
    <row r="4855" spans="4:5">
      <c r="D4855" s="437" t="s">
        <v>8972</v>
      </c>
      <c r="E4855" s="435"/>
    </row>
    <row r="4856" spans="4:5">
      <c r="D4856" s="437" t="s">
        <v>8973</v>
      </c>
      <c r="E4856" s="435"/>
    </row>
    <row r="4857" spans="4:5">
      <c r="D4857" s="437" t="s">
        <v>8974</v>
      </c>
      <c r="E4857" s="435"/>
    </row>
    <row r="4858" spans="4:5">
      <c r="D4858" s="437" t="s">
        <v>8975</v>
      </c>
      <c r="E4858" s="435"/>
    </row>
    <row r="4859" spans="4:5">
      <c r="D4859" s="437" t="s">
        <v>8976</v>
      </c>
      <c r="E4859" s="435"/>
    </row>
    <row r="4860" spans="4:5">
      <c r="D4860" s="437" t="s">
        <v>8977</v>
      </c>
      <c r="E4860" s="435"/>
    </row>
    <row r="4861" spans="4:5">
      <c r="D4861" s="437" t="s">
        <v>8978</v>
      </c>
      <c r="E4861" s="435"/>
    </row>
    <row r="4862" spans="4:5">
      <c r="D4862" s="437" t="s">
        <v>8979</v>
      </c>
      <c r="E4862" s="435"/>
    </row>
    <row r="4863" spans="4:5">
      <c r="D4863" s="437" t="s">
        <v>8980</v>
      </c>
      <c r="E4863" s="435"/>
    </row>
    <row r="4864" spans="4:5">
      <c r="D4864" s="437" t="s">
        <v>8981</v>
      </c>
      <c r="E4864" s="435"/>
    </row>
    <row r="4865" spans="4:5">
      <c r="D4865" s="437" t="s">
        <v>8982</v>
      </c>
      <c r="E4865" s="435"/>
    </row>
    <row r="4866" spans="4:5">
      <c r="D4866" s="437" t="s">
        <v>8983</v>
      </c>
      <c r="E4866" s="435"/>
    </row>
    <row r="4867" spans="4:5">
      <c r="D4867" s="437" t="s">
        <v>8984</v>
      </c>
      <c r="E4867" s="435"/>
    </row>
    <row r="4868" spans="4:5">
      <c r="D4868" s="437" t="s">
        <v>8985</v>
      </c>
      <c r="E4868" s="435"/>
    </row>
    <row r="4869" spans="4:5">
      <c r="D4869" s="437" t="s">
        <v>8986</v>
      </c>
      <c r="E4869" s="435"/>
    </row>
    <row r="4870" spans="4:5">
      <c r="D4870" s="434" t="s">
        <v>8987</v>
      </c>
      <c r="E4870" s="435" t="s">
        <v>8988</v>
      </c>
    </row>
    <row r="4871" spans="4:5">
      <c r="D4871" s="434" t="s">
        <v>8989</v>
      </c>
      <c r="E4871" s="435" t="s">
        <v>8990</v>
      </c>
    </row>
    <row r="4872" spans="4:5">
      <c r="D4872" s="437" t="s">
        <v>8991</v>
      </c>
      <c r="E4872" s="435"/>
    </row>
    <row r="4873" spans="4:5">
      <c r="D4873" s="437" t="s">
        <v>8992</v>
      </c>
      <c r="E4873" s="435"/>
    </row>
    <row r="4874" spans="4:5">
      <c r="D4874" s="437" t="s">
        <v>8993</v>
      </c>
      <c r="E4874" s="435"/>
    </row>
    <row r="4875" spans="4:5">
      <c r="D4875" s="437" t="s">
        <v>8994</v>
      </c>
      <c r="E4875" s="435"/>
    </row>
    <row r="4876" spans="4:5">
      <c r="D4876" s="434" t="s">
        <v>8995</v>
      </c>
      <c r="E4876" s="435" t="s">
        <v>8996</v>
      </c>
    </row>
    <row r="4877" spans="4:5">
      <c r="D4877" s="434" t="s">
        <v>8997</v>
      </c>
      <c r="E4877" s="435" t="s">
        <v>8998</v>
      </c>
    </row>
    <row r="4878" spans="4:5">
      <c r="D4878" s="437" t="s">
        <v>8999</v>
      </c>
      <c r="E4878" s="435"/>
    </row>
    <row r="4879" spans="4:5">
      <c r="D4879" s="437" t="s">
        <v>9000</v>
      </c>
      <c r="E4879" s="435"/>
    </row>
    <row r="4880" spans="4:5">
      <c r="D4880" s="437" t="s">
        <v>9001</v>
      </c>
      <c r="E4880" s="435"/>
    </row>
    <row r="4881" spans="4:5">
      <c r="D4881" s="434" t="s">
        <v>9002</v>
      </c>
      <c r="E4881" s="435" t="s">
        <v>9003</v>
      </c>
    </row>
    <row r="4882" spans="4:5">
      <c r="D4882" s="434" t="s">
        <v>9004</v>
      </c>
      <c r="E4882" s="435" t="s">
        <v>9005</v>
      </c>
    </row>
    <row r="4883" spans="4:5">
      <c r="D4883" s="434" t="s">
        <v>9006</v>
      </c>
      <c r="E4883" s="435" t="s">
        <v>9007</v>
      </c>
    </row>
    <row r="4884" spans="4:5">
      <c r="D4884" s="437" t="s">
        <v>9008</v>
      </c>
      <c r="E4884" s="435"/>
    </row>
    <row r="4885" spans="4:5">
      <c r="D4885" s="434" t="s">
        <v>9009</v>
      </c>
      <c r="E4885" s="435" t="s">
        <v>9010</v>
      </c>
    </row>
    <row r="4886" spans="4:5">
      <c r="D4886" s="434" t="s">
        <v>9011</v>
      </c>
      <c r="E4886" s="435" t="s">
        <v>9010</v>
      </c>
    </row>
    <row r="4887" spans="4:5">
      <c r="D4887" s="437" t="s">
        <v>9012</v>
      </c>
      <c r="E4887" s="435"/>
    </row>
    <row r="4888" spans="4:5">
      <c r="D4888" s="437" t="s">
        <v>9013</v>
      </c>
      <c r="E4888" s="435"/>
    </row>
    <row r="4889" spans="4:5">
      <c r="D4889" s="434" t="s">
        <v>9014</v>
      </c>
      <c r="E4889" s="435" t="s">
        <v>9015</v>
      </c>
    </row>
    <row r="4890" spans="4:5">
      <c r="D4890" s="437" t="s">
        <v>9016</v>
      </c>
      <c r="E4890" s="435"/>
    </row>
    <row r="4891" spans="4:5">
      <c r="D4891" s="437" t="s">
        <v>9017</v>
      </c>
      <c r="E4891" s="435"/>
    </row>
    <row r="4892" spans="4:5">
      <c r="D4892" s="437" t="s">
        <v>9018</v>
      </c>
      <c r="E4892" s="435"/>
    </row>
    <row r="4893" spans="4:5">
      <c r="D4893" s="437" t="s">
        <v>9019</v>
      </c>
      <c r="E4893" s="435"/>
    </row>
    <row r="4894" spans="4:5">
      <c r="D4894" s="434" t="s">
        <v>9020</v>
      </c>
      <c r="E4894" s="435" t="s">
        <v>1313</v>
      </c>
    </row>
    <row r="4895" spans="4:5">
      <c r="D4895" s="437" t="s">
        <v>9021</v>
      </c>
      <c r="E4895" s="435"/>
    </row>
    <row r="4896" spans="4:5">
      <c r="D4896" s="437" t="s">
        <v>9022</v>
      </c>
      <c r="E4896" s="435"/>
    </row>
    <row r="4897" spans="4:5">
      <c r="D4897" s="434" t="s">
        <v>9023</v>
      </c>
      <c r="E4897" s="435" t="s">
        <v>9024</v>
      </c>
    </row>
    <row r="4898" spans="4:5">
      <c r="D4898" s="437" t="s">
        <v>9025</v>
      </c>
      <c r="E4898" s="435"/>
    </row>
    <row r="4899" spans="4:5">
      <c r="D4899" s="437" t="s">
        <v>9026</v>
      </c>
      <c r="E4899" s="435"/>
    </row>
    <row r="4900" spans="4:5">
      <c r="D4900" s="434" t="s">
        <v>9027</v>
      </c>
      <c r="E4900" s="435"/>
    </row>
    <row r="4901" spans="4:5">
      <c r="D4901" s="434" t="s">
        <v>9028</v>
      </c>
      <c r="E4901" s="435" t="s">
        <v>9029</v>
      </c>
    </row>
    <row r="4902" spans="4:5">
      <c r="D4902" s="437" t="s">
        <v>9030</v>
      </c>
      <c r="E4902" s="435"/>
    </row>
    <row r="4903" spans="4:5">
      <c r="D4903" s="437" t="s">
        <v>9031</v>
      </c>
      <c r="E4903" s="435"/>
    </row>
    <row r="4904" spans="4:5">
      <c r="D4904" s="434" t="s">
        <v>9032</v>
      </c>
      <c r="E4904" s="435"/>
    </row>
    <row r="4905" spans="4:5">
      <c r="D4905" s="437" t="s">
        <v>9033</v>
      </c>
      <c r="E4905" s="435"/>
    </row>
    <row r="4906" spans="4:5">
      <c r="D4906" s="434" t="s">
        <v>9034</v>
      </c>
      <c r="E4906" s="435"/>
    </row>
    <row r="4907" spans="4:5">
      <c r="D4907" s="434" t="s">
        <v>9035</v>
      </c>
      <c r="E4907" s="435" t="s">
        <v>9036</v>
      </c>
    </row>
    <row r="4908" spans="4:5">
      <c r="D4908" s="434" t="s">
        <v>9037</v>
      </c>
      <c r="E4908" s="435" t="s">
        <v>9036</v>
      </c>
    </row>
    <row r="4909" spans="4:5">
      <c r="D4909" s="434" t="s">
        <v>9038</v>
      </c>
      <c r="E4909" s="435" t="s">
        <v>9036</v>
      </c>
    </row>
    <row r="4910" spans="4:5">
      <c r="D4910" s="434" t="s">
        <v>9039</v>
      </c>
      <c r="E4910" s="435"/>
    </row>
    <row r="4911" spans="4:5">
      <c r="D4911" s="434" t="s">
        <v>9040</v>
      </c>
      <c r="E4911" s="435"/>
    </row>
    <row r="4912" spans="4:5">
      <c r="D4912" s="434" t="s">
        <v>9041</v>
      </c>
      <c r="E4912" s="435"/>
    </row>
    <row r="4913" spans="4:5">
      <c r="D4913" s="434" t="s">
        <v>9042</v>
      </c>
      <c r="E4913" s="435"/>
    </row>
    <row r="4914" spans="4:5">
      <c r="D4914" s="437" t="s">
        <v>9043</v>
      </c>
      <c r="E4914" s="435"/>
    </row>
    <row r="4915" spans="4:5">
      <c r="D4915" s="434" t="s">
        <v>9044</v>
      </c>
      <c r="E4915" s="435" t="s">
        <v>9045</v>
      </c>
    </row>
    <row r="4916" spans="4:5">
      <c r="D4916" s="437" t="s">
        <v>9046</v>
      </c>
      <c r="E4916" s="435"/>
    </row>
    <row r="4917" spans="4:5">
      <c r="D4917" s="434" t="s">
        <v>9047</v>
      </c>
      <c r="E4917" s="435" t="s">
        <v>9048</v>
      </c>
    </row>
    <row r="4918" spans="4:5">
      <c r="D4918" s="434" t="s">
        <v>9049</v>
      </c>
      <c r="E4918" s="435" t="s">
        <v>9050</v>
      </c>
    </row>
    <row r="4919" spans="4:5">
      <c r="D4919" s="434" t="s">
        <v>9051</v>
      </c>
      <c r="E4919" s="435" t="s">
        <v>9050</v>
      </c>
    </row>
    <row r="4920" spans="4:5">
      <c r="D4920" s="434" t="s">
        <v>9052</v>
      </c>
      <c r="E4920" s="435" t="s">
        <v>9050</v>
      </c>
    </row>
    <row r="4921" spans="4:5">
      <c r="D4921" s="437" t="s">
        <v>9053</v>
      </c>
      <c r="E4921" s="435"/>
    </row>
    <row r="4922" spans="4:5">
      <c r="D4922" s="437" t="s">
        <v>9054</v>
      </c>
      <c r="E4922" s="435"/>
    </row>
    <row r="4923" spans="4:5">
      <c r="D4923" s="434" t="s">
        <v>774</v>
      </c>
      <c r="E4923" s="435" t="s">
        <v>9055</v>
      </c>
    </row>
    <row r="4924" spans="4:5">
      <c r="D4924" s="437" t="s">
        <v>9056</v>
      </c>
      <c r="E4924" s="435"/>
    </row>
    <row r="4925" spans="4:5">
      <c r="D4925" s="437" t="s">
        <v>9057</v>
      </c>
      <c r="E4925" s="435"/>
    </row>
    <row r="4926" spans="4:5">
      <c r="D4926" s="434" t="s">
        <v>9058</v>
      </c>
      <c r="E4926" s="435" t="s">
        <v>9059</v>
      </c>
    </row>
    <row r="4927" spans="4:5">
      <c r="D4927" s="434" t="s">
        <v>9060</v>
      </c>
      <c r="E4927" s="435" t="s">
        <v>9059</v>
      </c>
    </row>
    <row r="4928" spans="4:5">
      <c r="D4928" s="437" t="s">
        <v>9061</v>
      </c>
      <c r="E4928" s="435"/>
    </row>
    <row r="4929" spans="4:5">
      <c r="D4929" s="437" t="s">
        <v>9062</v>
      </c>
      <c r="E4929" s="435"/>
    </row>
    <row r="4930" spans="4:5">
      <c r="D4930" s="437" t="s">
        <v>9063</v>
      </c>
      <c r="E4930" s="435"/>
    </row>
    <row r="4931" spans="4:5">
      <c r="D4931" s="437" t="s">
        <v>9064</v>
      </c>
      <c r="E4931" s="435"/>
    </row>
    <row r="4932" spans="4:5">
      <c r="D4932" s="434" t="s">
        <v>9065</v>
      </c>
      <c r="E4932" s="435" t="s">
        <v>9066</v>
      </c>
    </row>
    <row r="4933" spans="4:5">
      <c r="D4933" s="437" t="s">
        <v>9067</v>
      </c>
      <c r="E4933" s="435"/>
    </row>
    <row r="4934" spans="4:5">
      <c r="D4934" s="437" t="s">
        <v>9068</v>
      </c>
      <c r="E4934" s="435"/>
    </row>
    <row r="4935" spans="4:5">
      <c r="D4935" s="437" t="s">
        <v>9069</v>
      </c>
      <c r="E4935" s="435"/>
    </row>
    <row r="4936" spans="4:5">
      <c r="D4936" s="437" t="s">
        <v>9070</v>
      </c>
      <c r="E4936" s="435"/>
    </row>
    <row r="4937" spans="4:5">
      <c r="D4937" s="437" t="s">
        <v>9071</v>
      </c>
      <c r="E4937" s="435"/>
    </row>
    <row r="4938" spans="4:5">
      <c r="D4938" s="437" t="s">
        <v>9072</v>
      </c>
      <c r="E4938" s="435"/>
    </row>
    <row r="4939" spans="4:5">
      <c r="D4939" s="434" t="s">
        <v>9073</v>
      </c>
      <c r="E4939" s="435" t="s">
        <v>9074</v>
      </c>
    </row>
    <row r="4940" spans="4:5">
      <c r="D4940" s="434" t="s">
        <v>9075</v>
      </c>
      <c r="E4940" s="435" t="s">
        <v>9074</v>
      </c>
    </row>
    <row r="4941" spans="4:5">
      <c r="D4941" s="437" t="s">
        <v>9076</v>
      </c>
      <c r="E4941" s="435"/>
    </row>
    <row r="4942" spans="4:5">
      <c r="D4942" s="434" t="s">
        <v>9077</v>
      </c>
      <c r="E4942" s="435" t="s">
        <v>9078</v>
      </c>
    </row>
    <row r="4943" spans="4:5">
      <c r="D4943" s="434" t="s">
        <v>9079</v>
      </c>
      <c r="E4943" s="435" t="s">
        <v>9080</v>
      </c>
    </row>
    <row r="4944" spans="4:5">
      <c r="D4944" s="437" t="s">
        <v>9081</v>
      </c>
      <c r="E4944" s="435"/>
    </row>
    <row r="4945" spans="4:5">
      <c r="D4945" s="434" t="s">
        <v>9082</v>
      </c>
      <c r="E4945" s="435" t="s">
        <v>9083</v>
      </c>
    </row>
    <row r="4946" spans="4:5">
      <c r="D4946" s="434" t="s">
        <v>9084</v>
      </c>
      <c r="E4946" s="435" t="s">
        <v>9083</v>
      </c>
    </row>
    <row r="4947" spans="4:5">
      <c r="D4947" s="437" t="s">
        <v>9085</v>
      </c>
      <c r="E4947" s="435"/>
    </row>
    <row r="4948" spans="4:5">
      <c r="D4948" s="434" t="s">
        <v>9086</v>
      </c>
      <c r="E4948" s="435" t="s">
        <v>9083</v>
      </c>
    </row>
    <row r="4949" spans="4:5">
      <c r="D4949" s="434" t="s">
        <v>9087</v>
      </c>
      <c r="E4949" s="435" t="s">
        <v>9088</v>
      </c>
    </row>
    <row r="4950" spans="4:5">
      <c r="D4950" s="434" t="s">
        <v>9089</v>
      </c>
      <c r="E4950" s="435" t="s">
        <v>9088</v>
      </c>
    </row>
    <row r="4951" spans="4:5">
      <c r="D4951" s="437" t="s">
        <v>9090</v>
      </c>
      <c r="E4951" s="435"/>
    </row>
    <row r="4952" spans="4:5">
      <c r="D4952" s="437" t="s">
        <v>9091</v>
      </c>
      <c r="E4952" s="435"/>
    </row>
    <row r="4953" spans="4:5">
      <c r="D4953" s="437" t="s">
        <v>9092</v>
      </c>
      <c r="E4953" s="435"/>
    </row>
    <row r="4954" spans="4:5">
      <c r="D4954" s="434" t="s">
        <v>9093</v>
      </c>
      <c r="E4954" s="435" t="s">
        <v>9094</v>
      </c>
    </row>
    <row r="4955" spans="4:5">
      <c r="D4955" s="437" t="s">
        <v>9095</v>
      </c>
      <c r="E4955" s="435"/>
    </row>
    <row r="4956" spans="4:5">
      <c r="D4956" s="434" t="s">
        <v>9096</v>
      </c>
      <c r="E4956" s="435" t="s">
        <v>9097</v>
      </c>
    </row>
    <row r="4957" spans="4:5">
      <c r="D4957" s="434" t="s">
        <v>9098</v>
      </c>
      <c r="E4957" s="435" t="s">
        <v>9099</v>
      </c>
    </row>
    <row r="4958" spans="4:5">
      <c r="D4958" s="437" t="s">
        <v>9100</v>
      </c>
      <c r="E4958" s="435"/>
    </row>
    <row r="4959" spans="4:5">
      <c r="D4959" s="437" t="s">
        <v>9101</v>
      </c>
      <c r="E4959" s="435"/>
    </row>
    <row r="4960" spans="4:5">
      <c r="D4960" s="437" t="s">
        <v>9102</v>
      </c>
      <c r="E4960" s="435"/>
    </row>
    <row r="4961" spans="4:5">
      <c r="D4961" s="437" t="s">
        <v>9103</v>
      </c>
      <c r="E4961" s="435"/>
    </row>
    <row r="4962" spans="4:5">
      <c r="D4962" s="437" t="s">
        <v>9104</v>
      </c>
      <c r="E4962" s="435"/>
    </row>
    <row r="4963" spans="4:5">
      <c r="D4963" s="437" t="s">
        <v>9105</v>
      </c>
      <c r="E4963" s="435"/>
    </row>
    <row r="4964" spans="4:5">
      <c r="D4964" s="437" t="s">
        <v>9106</v>
      </c>
      <c r="E4964" s="435"/>
    </row>
    <row r="4965" spans="4:5">
      <c r="D4965" s="437" t="s">
        <v>9107</v>
      </c>
      <c r="E4965" s="435"/>
    </row>
    <row r="4966" spans="4:5">
      <c r="D4966" s="437" t="s">
        <v>9108</v>
      </c>
      <c r="E4966" s="435"/>
    </row>
    <row r="4967" spans="4:5">
      <c r="D4967" s="437" t="s">
        <v>9109</v>
      </c>
      <c r="E4967" s="435"/>
    </row>
    <row r="4968" spans="4:5">
      <c r="D4968" s="437" t="s">
        <v>9110</v>
      </c>
      <c r="E4968" s="435"/>
    </row>
    <row r="4969" spans="4:5">
      <c r="D4969" s="437" t="s">
        <v>9111</v>
      </c>
      <c r="E4969" s="435"/>
    </row>
    <row r="4970" spans="4:5">
      <c r="D4970" s="437" t="s">
        <v>9112</v>
      </c>
      <c r="E4970" s="435"/>
    </row>
    <row r="4971" spans="4:5">
      <c r="D4971" s="437" t="s">
        <v>9113</v>
      </c>
      <c r="E4971" s="435"/>
    </row>
    <row r="4972" spans="4:5">
      <c r="D4972" s="437" t="s">
        <v>9114</v>
      </c>
      <c r="E4972" s="435"/>
    </row>
    <row r="4973" spans="4:5">
      <c r="D4973" s="434" t="s">
        <v>9115</v>
      </c>
      <c r="E4973" s="435" t="s">
        <v>9116</v>
      </c>
    </row>
    <row r="4974" spans="4:5">
      <c r="D4974" s="434" t="s">
        <v>9117</v>
      </c>
      <c r="E4974" s="435" t="s">
        <v>9116</v>
      </c>
    </row>
    <row r="4975" spans="4:5">
      <c r="D4975" s="437" t="s">
        <v>9118</v>
      </c>
      <c r="E4975" s="435"/>
    </row>
    <row r="4976" spans="4:5">
      <c r="D4976" s="434" t="s">
        <v>9119</v>
      </c>
      <c r="E4976" s="435" t="s">
        <v>9120</v>
      </c>
    </row>
    <row r="4977" spans="4:5">
      <c r="D4977" s="437" t="s">
        <v>9121</v>
      </c>
      <c r="E4977" s="435"/>
    </row>
    <row r="4978" spans="4:5">
      <c r="D4978" s="437" t="s">
        <v>9122</v>
      </c>
      <c r="E4978" s="435"/>
    </row>
    <row r="4979" spans="4:5">
      <c r="D4979" s="437" t="s">
        <v>9123</v>
      </c>
      <c r="E4979" s="435"/>
    </row>
    <row r="4980" spans="4:5">
      <c r="D4980" s="434" t="s">
        <v>9124</v>
      </c>
      <c r="E4980" s="435" t="s">
        <v>9125</v>
      </c>
    </row>
    <row r="4981" spans="4:5">
      <c r="D4981" s="437" t="s">
        <v>9126</v>
      </c>
      <c r="E4981" s="435"/>
    </row>
    <row r="4982" spans="4:5">
      <c r="D4982" s="434" t="s">
        <v>9127</v>
      </c>
      <c r="E4982" s="435" t="s">
        <v>9128</v>
      </c>
    </row>
    <row r="4983" spans="4:5">
      <c r="D4983" s="434" t="s">
        <v>9129</v>
      </c>
      <c r="E4983" s="435" t="s">
        <v>9130</v>
      </c>
    </row>
    <row r="4984" spans="4:5">
      <c r="D4984" s="437" t="s">
        <v>9131</v>
      </c>
      <c r="E4984" s="435"/>
    </row>
    <row r="4985" spans="4:5">
      <c r="D4985" s="437" t="s">
        <v>9132</v>
      </c>
      <c r="E4985" s="435"/>
    </row>
    <row r="4986" spans="4:5">
      <c r="D4986" s="434" t="s">
        <v>9133</v>
      </c>
      <c r="E4986" s="435" t="s">
        <v>9134</v>
      </c>
    </row>
    <row r="4987" spans="4:5">
      <c r="D4987" s="434" t="s">
        <v>9135</v>
      </c>
      <c r="E4987" s="435" t="s">
        <v>9134</v>
      </c>
    </row>
    <row r="4988" spans="4:5">
      <c r="D4988" s="437" t="s">
        <v>9136</v>
      </c>
      <c r="E4988" s="435"/>
    </row>
    <row r="4989" spans="4:5">
      <c r="D4989" s="437" t="s">
        <v>9137</v>
      </c>
      <c r="E4989" s="435"/>
    </row>
    <row r="4990" spans="4:5">
      <c r="D4990" s="437" t="s">
        <v>9138</v>
      </c>
      <c r="E4990" s="435"/>
    </row>
    <row r="4991" spans="4:5">
      <c r="D4991" s="437" t="s">
        <v>9139</v>
      </c>
      <c r="E4991" s="435"/>
    </row>
    <row r="4992" spans="4:5">
      <c r="D4992" s="437" t="s">
        <v>9140</v>
      </c>
      <c r="E4992" s="435"/>
    </row>
    <row r="4993" spans="4:5">
      <c r="D4993" s="437" t="s">
        <v>9141</v>
      </c>
      <c r="E4993" s="435"/>
    </row>
    <row r="4994" spans="4:5">
      <c r="D4994" s="437" t="s">
        <v>9142</v>
      </c>
      <c r="E4994" s="435"/>
    </row>
    <row r="4995" spans="4:5">
      <c r="D4995" s="437" t="s">
        <v>9143</v>
      </c>
      <c r="E4995" s="435"/>
    </row>
    <row r="4996" spans="4:5">
      <c r="D4996" s="437" t="s">
        <v>9144</v>
      </c>
      <c r="E4996" s="435"/>
    </row>
    <row r="4997" spans="4:5">
      <c r="D4997" s="434" t="s">
        <v>9145</v>
      </c>
      <c r="E4997" s="435" t="s">
        <v>9146</v>
      </c>
    </row>
    <row r="4998" spans="4:5">
      <c r="D4998" s="437" t="s">
        <v>9147</v>
      </c>
      <c r="E4998" s="435"/>
    </row>
    <row r="4999" spans="4:5">
      <c r="D4999" s="437" t="s">
        <v>9148</v>
      </c>
      <c r="E4999" s="435"/>
    </row>
    <row r="5000" spans="4:5">
      <c r="D5000" s="437" t="s">
        <v>9149</v>
      </c>
      <c r="E5000" s="435"/>
    </row>
    <row r="5001" spans="4:5">
      <c r="D5001" s="437" t="s">
        <v>9150</v>
      </c>
      <c r="E5001" s="435"/>
    </row>
    <row r="5002" spans="4:5">
      <c r="D5002" s="437" t="s">
        <v>9151</v>
      </c>
      <c r="E5002" s="435"/>
    </row>
    <row r="5003" spans="4:5">
      <c r="D5003" s="437" t="s">
        <v>9152</v>
      </c>
      <c r="E5003" s="435"/>
    </row>
    <row r="5004" spans="4:5">
      <c r="D5004" s="437" t="s">
        <v>9153</v>
      </c>
      <c r="E5004" s="435"/>
    </row>
    <row r="5005" spans="4:5">
      <c r="D5005" s="437" t="s">
        <v>9153</v>
      </c>
      <c r="E5005" s="435"/>
    </row>
    <row r="5006" spans="4:5">
      <c r="D5006" s="434" t="s">
        <v>9154</v>
      </c>
      <c r="E5006" s="435" t="s">
        <v>9155</v>
      </c>
    </row>
    <row r="5007" spans="4:5">
      <c r="D5007" s="434" t="s">
        <v>9156</v>
      </c>
      <c r="E5007" s="435" t="s">
        <v>9155</v>
      </c>
    </row>
    <row r="5008" spans="4:5">
      <c r="D5008" s="437" t="s">
        <v>9157</v>
      </c>
      <c r="E5008" s="435"/>
    </row>
    <row r="5009" spans="4:5">
      <c r="D5009" s="437" t="s">
        <v>9158</v>
      </c>
      <c r="E5009" s="435"/>
    </row>
    <row r="5010" spans="4:5">
      <c r="D5010" s="437" t="s">
        <v>9159</v>
      </c>
      <c r="E5010" s="435"/>
    </row>
    <row r="5011" spans="4:5">
      <c r="D5011" s="437" t="s">
        <v>9160</v>
      </c>
      <c r="E5011" s="435"/>
    </row>
    <row r="5012" spans="4:5">
      <c r="D5012" s="437" t="s">
        <v>9161</v>
      </c>
      <c r="E5012" s="435"/>
    </row>
    <row r="5013" spans="4:5">
      <c r="D5013" s="437" t="s">
        <v>9162</v>
      </c>
      <c r="E5013" s="435"/>
    </row>
    <row r="5014" spans="4:5">
      <c r="D5014" s="437" t="s">
        <v>9163</v>
      </c>
      <c r="E5014" s="435"/>
    </row>
    <row r="5015" spans="4:5">
      <c r="D5015" s="437" t="s">
        <v>9164</v>
      </c>
      <c r="E5015" s="435"/>
    </row>
    <row r="5016" spans="4:5">
      <c r="D5016" s="437" t="s">
        <v>9165</v>
      </c>
      <c r="E5016" s="435"/>
    </row>
    <row r="5017" spans="4:5">
      <c r="D5017" s="437" t="s">
        <v>9166</v>
      </c>
      <c r="E5017" s="435"/>
    </row>
    <row r="5018" spans="4:5">
      <c r="D5018" s="437" t="s">
        <v>9167</v>
      </c>
      <c r="E5018" s="435"/>
    </row>
    <row r="5019" spans="4:5">
      <c r="D5019" s="437" t="s">
        <v>9168</v>
      </c>
      <c r="E5019" s="435"/>
    </row>
    <row r="5020" spans="4:5">
      <c r="D5020" s="434" t="s">
        <v>9169</v>
      </c>
      <c r="E5020" s="435"/>
    </row>
    <row r="5021" spans="4:5">
      <c r="D5021" s="437" t="s">
        <v>9170</v>
      </c>
      <c r="E5021" s="435"/>
    </row>
    <row r="5022" spans="4:5">
      <c r="D5022" s="437" t="s">
        <v>9171</v>
      </c>
      <c r="E5022" s="435"/>
    </row>
    <row r="5023" spans="4:5">
      <c r="D5023" s="437" t="s">
        <v>9172</v>
      </c>
      <c r="E5023" s="435"/>
    </row>
    <row r="5024" spans="4:5">
      <c r="D5024" s="437" t="s">
        <v>9173</v>
      </c>
      <c r="E5024" s="435"/>
    </row>
    <row r="5025" spans="4:5">
      <c r="D5025" s="434" t="s">
        <v>9174</v>
      </c>
      <c r="E5025" s="435" t="s">
        <v>9175</v>
      </c>
    </row>
    <row r="5026" spans="4:5">
      <c r="D5026" s="437" t="s">
        <v>9176</v>
      </c>
      <c r="E5026" s="435"/>
    </row>
    <row r="5027" spans="4:5">
      <c r="D5027" s="437" t="s">
        <v>9177</v>
      </c>
      <c r="E5027" s="435"/>
    </row>
    <row r="5028" spans="4:5">
      <c r="D5028" s="437" t="s">
        <v>9178</v>
      </c>
      <c r="E5028" s="435"/>
    </row>
    <row r="5029" spans="4:5">
      <c r="D5029" s="434" t="s">
        <v>9179</v>
      </c>
      <c r="E5029" s="435" t="s">
        <v>9180</v>
      </c>
    </row>
    <row r="5030" spans="4:5">
      <c r="D5030" s="434" t="s">
        <v>9181</v>
      </c>
      <c r="E5030" s="435" t="s">
        <v>9180</v>
      </c>
    </row>
    <row r="5031" spans="4:5">
      <c r="D5031" s="437" t="s">
        <v>9182</v>
      </c>
      <c r="E5031" s="435"/>
    </row>
    <row r="5032" spans="4:5">
      <c r="D5032" s="437" t="s">
        <v>9183</v>
      </c>
      <c r="E5032" s="435"/>
    </row>
    <row r="5033" spans="4:5">
      <c r="D5033" s="434" t="s">
        <v>9184</v>
      </c>
      <c r="E5033" s="435" t="s">
        <v>9185</v>
      </c>
    </row>
    <row r="5034" spans="4:5">
      <c r="D5034" s="434" t="s">
        <v>9186</v>
      </c>
      <c r="E5034" s="435" t="s">
        <v>9187</v>
      </c>
    </row>
    <row r="5035" spans="4:5">
      <c r="D5035" s="437" t="s">
        <v>9188</v>
      </c>
      <c r="E5035" s="435"/>
    </row>
    <row r="5036" spans="4:5">
      <c r="D5036" s="437" t="s">
        <v>9189</v>
      </c>
      <c r="E5036" s="435"/>
    </row>
    <row r="5037" spans="4:5">
      <c r="D5037" s="437" t="s">
        <v>9190</v>
      </c>
      <c r="E5037" s="435"/>
    </row>
    <row r="5038" spans="4:5">
      <c r="D5038" s="434" t="s">
        <v>9191</v>
      </c>
      <c r="E5038" s="435" t="s">
        <v>9192</v>
      </c>
    </row>
    <row r="5039" spans="4:5">
      <c r="D5039" s="437" t="s">
        <v>9193</v>
      </c>
      <c r="E5039" s="435"/>
    </row>
    <row r="5040" spans="4:5">
      <c r="D5040" s="437" t="s">
        <v>9194</v>
      </c>
      <c r="E5040" s="435"/>
    </row>
    <row r="5041" spans="4:5">
      <c r="D5041" s="434" t="s">
        <v>9195</v>
      </c>
      <c r="E5041" s="435" t="s">
        <v>9196</v>
      </c>
    </row>
    <row r="5042" spans="4:5">
      <c r="D5042" s="434" t="s">
        <v>9197</v>
      </c>
      <c r="E5042" s="435" t="s">
        <v>9196</v>
      </c>
    </row>
    <row r="5043" spans="4:5">
      <c r="D5043" s="434" t="s">
        <v>9198</v>
      </c>
      <c r="E5043" s="435" t="s">
        <v>9199</v>
      </c>
    </row>
    <row r="5044" spans="4:5">
      <c r="D5044" s="434" t="s">
        <v>9200</v>
      </c>
      <c r="E5044" s="435" t="s">
        <v>9201</v>
      </c>
    </row>
    <row r="5045" spans="4:5">
      <c r="D5045" s="437" t="s">
        <v>9202</v>
      </c>
      <c r="E5045" s="435"/>
    </row>
    <row r="5046" spans="4:5">
      <c r="D5046" s="437" t="s">
        <v>9203</v>
      </c>
      <c r="E5046" s="435"/>
    </row>
    <row r="5047" spans="4:5">
      <c r="D5047" s="437" t="s">
        <v>9204</v>
      </c>
      <c r="E5047" s="435"/>
    </row>
    <row r="5048" spans="4:5">
      <c r="D5048" s="434" t="s">
        <v>9205</v>
      </c>
      <c r="E5048" s="435" t="s">
        <v>9206</v>
      </c>
    </row>
    <row r="5049" spans="4:5">
      <c r="D5049" s="437" t="s">
        <v>9207</v>
      </c>
      <c r="E5049" s="435"/>
    </row>
    <row r="5050" spans="4:5">
      <c r="D5050" s="434" t="s">
        <v>9208</v>
      </c>
      <c r="E5050" s="435" t="s">
        <v>9209</v>
      </c>
    </row>
    <row r="5051" spans="4:5">
      <c r="D5051" s="437" t="s">
        <v>9210</v>
      </c>
      <c r="E5051" s="435"/>
    </row>
    <row r="5052" spans="4:5">
      <c r="D5052" s="437" t="s">
        <v>9211</v>
      </c>
      <c r="E5052" s="435"/>
    </row>
    <row r="5053" spans="4:5">
      <c r="D5053" s="437" t="s">
        <v>9212</v>
      </c>
      <c r="E5053" s="435"/>
    </row>
    <row r="5054" spans="4:5">
      <c r="D5054" s="437" t="s">
        <v>9213</v>
      </c>
      <c r="E5054" s="435"/>
    </row>
    <row r="5055" spans="4:5">
      <c r="D5055" s="437" t="s">
        <v>9214</v>
      </c>
      <c r="E5055" s="435"/>
    </row>
    <row r="5056" spans="4:5">
      <c r="D5056" s="434" t="s">
        <v>9215</v>
      </c>
      <c r="E5056" s="435" t="s">
        <v>9216</v>
      </c>
    </row>
    <row r="5057" spans="4:5">
      <c r="D5057" s="437" t="s">
        <v>9217</v>
      </c>
      <c r="E5057" s="435"/>
    </row>
    <row r="5058" spans="4:5">
      <c r="D5058" s="437" t="s">
        <v>9218</v>
      </c>
      <c r="E5058" s="435"/>
    </row>
    <row r="5059" spans="4:5">
      <c r="D5059" s="437" t="s">
        <v>9219</v>
      </c>
      <c r="E5059" s="435"/>
    </row>
    <row r="5060" spans="4:5">
      <c r="D5060" s="434" t="s">
        <v>9220</v>
      </c>
      <c r="E5060" s="435" t="s">
        <v>9221</v>
      </c>
    </row>
    <row r="5061" spans="4:5">
      <c r="D5061" s="437" t="s">
        <v>9222</v>
      </c>
      <c r="E5061" s="435"/>
    </row>
    <row r="5062" spans="4:5">
      <c r="D5062" s="434" t="s">
        <v>9223</v>
      </c>
      <c r="E5062" s="435"/>
    </row>
    <row r="5063" spans="4:5">
      <c r="D5063" s="437" t="s">
        <v>9224</v>
      </c>
      <c r="E5063" s="435"/>
    </row>
    <row r="5064" spans="4:5">
      <c r="D5064" s="437" t="s">
        <v>9225</v>
      </c>
      <c r="E5064" s="435"/>
    </row>
    <row r="5065" spans="4:5">
      <c r="D5065" s="437" t="s">
        <v>9226</v>
      </c>
      <c r="E5065" s="435"/>
    </row>
    <row r="5066" spans="4:5">
      <c r="D5066" s="437" t="s">
        <v>9227</v>
      </c>
      <c r="E5066" s="435"/>
    </row>
    <row r="5067" spans="4:5">
      <c r="D5067" s="434" t="s">
        <v>9228</v>
      </c>
      <c r="E5067" s="435" t="s">
        <v>9229</v>
      </c>
    </row>
    <row r="5068" spans="4:5">
      <c r="D5068" s="434" t="s">
        <v>9230</v>
      </c>
      <c r="E5068" s="435" t="s">
        <v>9229</v>
      </c>
    </row>
    <row r="5069" spans="4:5">
      <c r="D5069" s="437" t="s">
        <v>9231</v>
      </c>
      <c r="E5069" s="435"/>
    </row>
    <row r="5070" spans="4:5">
      <c r="D5070" s="437" t="s">
        <v>9232</v>
      </c>
      <c r="E5070" s="435"/>
    </row>
    <row r="5071" spans="4:5">
      <c r="D5071" s="437" t="s">
        <v>9233</v>
      </c>
      <c r="E5071" s="435"/>
    </row>
    <row r="5072" spans="4:5">
      <c r="D5072" s="434" t="s">
        <v>9234</v>
      </c>
      <c r="E5072" s="435" t="s">
        <v>9235</v>
      </c>
    </row>
    <row r="5073" spans="4:5">
      <c r="D5073" s="437" t="s">
        <v>9236</v>
      </c>
      <c r="E5073" s="435"/>
    </row>
    <row r="5074" spans="4:5">
      <c r="D5074" s="434" t="s">
        <v>9237</v>
      </c>
      <c r="E5074" s="435" t="s">
        <v>9238</v>
      </c>
    </row>
    <row r="5075" spans="4:5">
      <c r="D5075" s="434" t="s">
        <v>9239</v>
      </c>
      <c r="E5075" s="435" t="s">
        <v>9238</v>
      </c>
    </row>
    <row r="5076" spans="4:5">
      <c r="D5076" s="437" t="s">
        <v>9240</v>
      </c>
      <c r="E5076" s="435"/>
    </row>
    <row r="5077" spans="4:5">
      <c r="D5077" s="437" t="s">
        <v>9241</v>
      </c>
      <c r="E5077" s="435"/>
    </row>
    <row r="5078" spans="4:5">
      <c r="D5078" s="437" t="s">
        <v>9242</v>
      </c>
      <c r="E5078" s="435"/>
    </row>
    <row r="5079" spans="4:5">
      <c r="D5079" s="434" t="s">
        <v>9243</v>
      </c>
      <c r="E5079" s="435" t="s">
        <v>9238</v>
      </c>
    </row>
    <row r="5080" spans="4:5">
      <c r="D5080" s="437" t="s">
        <v>9244</v>
      </c>
      <c r="E5080" s="435"/>
    </row>
    <row r="5081" spans="4:5">
      <c r="D5081" s="437" t="s">
        <v>9245</v>
      </c>
      <c r="E5081" s="435"/>
    </row>
    <row r="5082" spans="4:5">
      <c r="D5082" s="437" t="s">
        <v>9246</v>
      </c>
      <c r="E5082" s="435"/>
    </row>
    <row r="5083" spans="4:5">
      <c r="D5083" s="437" t="s">
        <v>9247</v>
      </c>
      <c r="E5083" s="435"/>
    </row>
    <row r="5084" spans="4:5">
      <c r="D5084" s="434" t="s">
        <v>9248</v>
      </c>
      <c r="E5084" s="435" t="s">
        <v>9249</v>
      </c>
    </row>
    <row r="5085" spans="4:5">
      <c r="D5085" s="434" t="s">
        <v>9250</v>
      </c>
      <c r="E5085" s="435" t="s">
        <v>9251</v>
      </c>
    </row>
    <row r="5086" spans="4:5">
      <c r="D5086" s="437" t="s">
        <v>9252</v>
      </c>
      <c r="E5086" s="435"/>
    </row>
    <row r="5087" spans="4:5">
      <c r="D5087" s="437" t="s">
        <v>9253</v>
      </c>
      <c r="E5087" s="435"/>
    </row>
    <row r="5088" spans="4:5">
      <c r="D5088" s="437" t="s">
        <v>9254</v>
      </c>
      <c r="E5088" s="435"/>
    </row>
    <row r="5089" spans="4:5">
      <c r="D5089" s="437" t="s">
        <v>9255</v>
      </c>
      <c r="E5089" s="435"/>
    </row>
    <row r="5090" spans="4:5">
      <c r="D5090" s="437" t="s">
        <v>9256</v>
      </c>
      <c r="E5090" s="435"/>
    </row>
    <row r="5091" spans="4:5">
      <c r="D5091" s="437" t="s">
        <v>9257</v>
      </c>
      <c r="E5091" s="435"/>
    </row>
    <row r="5092" spans="4:5">
      <c r="D5092" s="434" t="s">
        <v>9258</v>
      </c>
      <c r="E5092" s="435" t="s">
        <v>9259</v>
      </c>
    </row>
    <row r="5093" spans="4:5">
      <c r="D5093" s="434" t="s">
        <v>9260</v>
      </c>
      <c r="E5093" s="435" t="s">
        <v>9261</v>
      </c>
    </row>
    <row r="5094" spans="4:5">
      <c r="D5094" s="434" t="s">
        <v>9262</v>
      </c>
      <c r="E5094" s="435" t="s">
        <v>9263</v>
      </c>
    </row>
    <row r="5095" spans="4:5">
      <c r="D5095" s="437" t="s">
        <v>9264</v>
      </c>
      <c r="E5095" s="435"/>
    </row>
    <row r="5096" spans="4:5">
      <c r="D5096" s="434" t="s">
        <v>9265</v>
      </c>
      <c r="E5096" s="435" t="s">
        <v>9266</v>
      </c>
    </row>
    <row r="5097" spans="4:5">
      <c r="D5097" s="437" t="s">
        <v>9267</v>
      </c>
      <c r="E5097" s="435"/>
    </row>
    <row r="5098" spans="4:5">
      <c r="D5098" s="434" t="s">
        <v>9268</v>
      </c>
      <c r="E5098" s="435" t="s">
        <v>9269</v>
      </c>
    </row>
    <row r="5099" spans="4:5">
      <c r="D5099" s="437" t="s">
        <v>9270</v>
      </c>
      <c r="E5099" s="435"/>
    </row>
    <row r="5100" spans="4:5">
      <c r="D5100" s="437" t="s">
        <v>9271</v>
      </c>
      <c r="E5100" s="435"/>
    </row>
    <row r="5101" spans="4:5">
      <c r="D5101" s="437" t="s">
        <v>9267</v>
      </c>
      <c r="E5101" s="435"/>
    </row>
    <row r="5102" spans="4:5">
      <c r="D5102" s="434" t="s">
        <v>9272</v>
      </c>
      <c r="E5102" s="435" t="s">
        <v>9273</v>
      </c>
    </row>
    <row r="5103" spans="4:5">
      <c r="D5103" s="437" t="s">
        <v>9274</v>
      </c>
      <c r="E5103" s="435"/>
    </row>
    <row r="5104" spans="4:5">
      <c r="D5104" s="434" t="s">
        <v>9275</v>
      </c>
      <c r="E5104" s="435" t="s">
        <v>9276</v>
      </c>
    </row>
    <row r="5105" spans="4:5">
      <c r="D5105" s="434" t="s">
        <v>9277</v>
      </c>
      <c r="E5105" s="435" t="s">
        <v>9278</v>
      </c>
    </row>
    <row r="5106" spans="4:5">
      <c r="D5106" s="434" t="s">
        <v>9279</v>
      </c>
      <c r="E5106" s="435" t="s">
        <v>9278</v>
      </c>
    </row>
    <row r="5107" spans="4:5">
      <c r="D5107" s="434" t="s">
        <v>9280</v>
      </c>
      <c r="E5107" s="435" t="s">
        <v>9281</v>
      </c>
    </row>
    <row r="5108" spans="4:5">
      <c r="D5108" s="434" t="s">
        <v>9282</v>
      </c>
      <c r="E5108" s="435" t="s">
        <v>9281</v>
      </c>
    </row>
    <row r="5109" spans="4:5">
      <c r="D5109" s="437" t="s">
        <v>9283</v>
      </c>
      <c r="E5109" s="435"/>
    </row>
    <row r="5110" spans="4:5">
      <c r="D5110" s="437" t="s">
        <v>9284</v>
      </c>
      <c r="E5110" s="435"/>
    </row>
    <row r="5111" spans="4:5">
      <c r="D5111" s="434" t="s">
        <v>9285</v>
      </c>
      <c r="E5111" s="435" t="s">
        <v>9286</v>
      </c>
    </row>
    <row r="5112" spans="4:5">
      <c r="D5112" s="434" t="s">
        <v>9287</v>
      </c>
      <c r="E5112" s="435" t="s">
        <v>9288</v>
      </c>
    </row>
    <row r="5113" spans="4:5">
      <c r="D5113" s="437" t="s">
        <v>9289</v>
      </c>
      <c r="E5113" s="435"/>
    </row>
    <row r="5114" spans="4:5">
      <c r="D5114" s="437" t="s">
        <v>9290</v>
      </c>
      <c r="E5114" s="435"/>
    </row>
    <row r="5115" spans="4:5">
      <c r="D5115" s="437" t="s">
        <v>9291</v>
      </c>
      <c r="E5115" s="435"/>
    </row>
    <row r="5116" spans="4:5">
      <c r="D5116" s="437" t="s">
        <v>9292</v>
      </c>
      <c r="E5116" s="435"/>
    </row>
    <row r="5117" spans="4:5">
      <c r="D5117" s="437" t="s">
        <v>9293</v>
      </c>
      <c r="E5117" s="435"/>
    </row>
    <row r="5118" spans="4:5">
      <c r="D5118" s="437" t="s">
        <v>9294</v>
      </c>
      <c r="E5118" s="435"/>
    </row>
    <row r="5119" spans="4:5">
      <c r="D5119" s="437" t="s">
        <v>9295</v>
      </c>
      <c r="E5119" s="435"/>
    </row>
    <row r="5120" spans="4:5">
      <c r="D5120" s="437" t="s">
        <v>9296</v>
      </c>
      <c r="E5120" s="435"/>
    </row>
    <row r="5121" spans="4:5">
      <c r="D5121" s="437" t="s">
        <v>9297</v>
      </c>
      <c r="E5121" s="435"/>
    </row>
    <row r="5122" spans="4:5">
      <c r="D5122" s="437" t="s">
        <v>9298</v>
      </c>
      <c r="E5122" s="435"/>
    </row>
    <row r="5123" spans="4:5">
      <c r="D5123" s="437" t="s">
        <v>9299</v>
      </c>
      <c r="E5123" s="435"/>
    </row>
    <row r="5124" spans="4:5">
      <c r="D5124" s="437" t="s">
        <v>9300</v>
      </c>
      <c r="E5124" s="435"/>
    </row>
    <row r="5125" spans="4:5">
      <c r="D5125" s="437" t="s">
        <v>9301</v>
      </c>
      <c r="E5125" s="435"/>
    </row>
    <row r="5126" spans="4:5">
      <c r="D5126" s="437" t="s">
        <v>9302</v>
      </c>
      <c r="E5126" s="435"/>
    </row>
    <row r="5127" spans="4:5">
      <c r="D5127" s="437" t="s">
        <v>9303</v>
      </c>
      <c r="E5127" s="435"/>
    </row>
    <row r="5128" spans="4:5">
      <c r="D5128" s="437" t="s">
        <v>9304</v>
      </c>
      <c r="E5128" s="435"/>
    </row>
    <row r="5129" spans="4:5">
      <c r="D5129" s="437" t="s">
        <v>9305</v>
      </c>
      <c r="E5129" s="435"/>
    </row>
    <row r="5130" spans="4:5">
      <c r="D5130" s="437" t="s">
        <v>9306</v>
      </c>
      <c r="E5130" s="435"/>
    </row>
    <row r="5131" spans="4:5">
      <c r="D5131" s="437" t="s">
        <v>9307</v>
      </c>
      <c r="E5131" s="435"/>
    </row>
    <row r="5132" spans="4:5">
      <c r="D5132" s="437" t="s">
        <v>9308</v>
      </c>
      <c r="E5132" s="435"/>
    </row>
    <row r="5133" spans="4:5">
      <c r="D5133" s="437" t="s">
        <v>9309</v>
      </c>
      <c r="E5133" s="435"/>
    </row>
    <row r="5134" spans="4:5">
      <c r="D5134" s="434" t="s">
        <v>9310</v>
      </c>
      <c r="E5134" s="435" t="s">
        <v>9286</v>
      </c>
    </row>
    <row r="5135" spans="4:5">
      <c r="D5135" s="437" t="s">
        <v>9311</v>
      </c>
      <c r="E5135" s="435"/>
    </row>
    <row r="5136" spans="4:5">
      <c r="D5136" s="437" t="s">
        <v>9312</v>
      </c>
      <c r="E5136" s="435"/>
    </row>
    <row r="5137" spans="4:5">
      <c r="D5137" s="437" t="s">
        <v>9313</v>
      </c>
      <c r="E5137" s="435"/>
    </row>
    <row r="5138" spans="4:5">
      <c r="D5138" s="437" t="s">
        <v>9314</v>
      </c>
      <c r="E5138" s="435"/>
    </row>
    <row r="5139" spans="4:5">
      <c r="D5139" s="437" t="s">
        <v>9315</v>
      </c>
      <c r="E5139" s="435"/>
    </row>
    <row r="5140" spans="4:5">
      <c r="D5140" s="437" t="s">
        <v>9316</v>
      </c>
      <c r="E5140" s="435"/>
    </row>
    <row r="5141" spans="4:5">
      <c r="D5141" s="437" t="s">
        <v>9317</v>
      </c>
      <c r="E5141" s="435"/>
    </row>
    <row r="5142" spans="4:5">
      <c r="D5142" s="437" t="s">
        <v>9318</v>
      </c>
      <c r="E5142" s="435"/>
    </row>
    <row r="5143" spans="4:5">
      <c r="D5143" s="437" t="s">
        <v>9319</v>
      </c>
      <c r="E5143" s="435"/>
    </row>
    <row r="5144" spans="4:5">
      <c r="D5144" s="437" t="s">
        <v>9320</v>
      </c>
      <c r="E5144" s="435"/>
    </row>
    <row r="5145" spans="4:5">
      <c r="D5145" s="437" t="s">
        <v>9321</v>
      </c>
      <c r="E5145" s="435"/>
    </row>
    <row r="5146" spans="4:5">
      <c r="D5146" s="437" t="s">
        <v>9322</v>
      </c>
      <c r="E5146" s="435"/>
    </row>
    <row r="5147" spans="4:5">
      <c r="D5147" s="437" t="s">
        <v>9323</v>
      </c>
      <c r="E5147" s="435"/>
    </row>
    <row r="5148" spans="4:5">
      <c r="D5148" s="437" t="s">
        <v>9323</v>
      </c>
      <c r="E5148" s="435"/>
    </row>
    <row r="5149" spans="4:5">
      <c r="D5149" s="437" t="s">
        <v>9324</v>
      </c>
      <c r="E5149" s="435"/>
    </row>
    <row r="5150" spans="4:5">
      <c r="D5150" s="434" t="s">
        <v>9325</v>
      </c>
      <c r="E5150" s="435" t="s">
        <v>9326</v>
      </c>
    </row>
    <row r="5151" spans="4:5">
      <c r="D5151" s="437" t="s">
        <v>9327</v>
      </c>
      <c r="E5151" s="435"/>
    </row>
    <row r="5152" spans="4:5">
      <c r="D5152" s="437" t="s">
        <v>9328</v>
      </c>
      <c r="E5152" s="435"/>
    </row>
    <row r="5153" spans="4:5">
      <c r="D5153" s="437" t="s">
        <v>9329</v>
      </c>
      <c r="E5153" s="435"/>
    </row>
    <row r="5154" spans="4:5">
      <c r="D5154" s="437" t="s">
        <v>9330</v>
      </c>
      <c r="E5154" s="435"/>
    </row>
    <row r="5155" spans="4:5">
      <c r="D5155" s="437" t="s">
        <v>9331</v>
      </c>
      <c r="E5155" s="435"/>
    </row>
    <row r="5156" spans="4:5">
      <c r="D5156" s="434" t="s">
        <v>9332</v>
      </c>
      <c r="E5156" s="435" t="s">
        <v>9333</v>
      </c>
    </row>
    <row r="5157" spans="4:5">
      <c r="D5157" s="434" t="s">
        <v>9334</v>
      </c>
      <c r="E5157" s="435" t="s">
        <v>9333</v>
      </c>
    </row>
    <row r="5158" spans="4:5">
      <c r="D5158" s="437" t="s">
        <v>9335</v>
      </c>
      <c r="E5158" s="435"/>
    </row>
    <row r="5159" spans="4:5">
      <c r="D5159" s="434" t="s">
        <v>9336</v>
      </c>
      <c r="E5159" s="435" t="s">
        <v>9337</v>
      </c>
    </row>
    <row r="5160" spans="4:5">
      <c r="D5160" s="437" t="s">
        <v>9338</v>
      </c>
      <c r="E5160" s="435"/>
    </row>
    <row r="5161" spans="4:5">
      <c r="D5161" s="437" t="s">
        <v>9339</v>
      </c>
      <c r="E5161" s="435"/>
    </row>
    <row r="5162" spans="4:5">
      <c r="D5162" s="437" t="s">
        <v>9340</v>
      </c>
      <c r="E5162" s="435"/>
    </row>
    <row r="5163" spans="4:5">
      <c r="D5163" s="434" t="s">
        <v>9341</v>
      </c>
      <c r="E5163" s="435" t="s">
        <v>9342</v>
      </c>
    </row>
    <row r="5164" spans="4:5">
      <c r="D5164" s="434" t="s">
        <v>9343</v>
      </c>
      <c r="E5164" s="435" t="s">
        <v>9342</v>
      </c>
    </row>
    <row r="5165" spans="4:5">
      <c r="D5165" s="437" t="s">
        <v>9344</v>
      </c>
      <c r="E5165" s="435"/>
    </row>
    <row r="5166" spans="4:5">
      <c r="D5166" s="437" t="s">
        <v>9345</v>
      </c>
      <c r="E5166" s="435"/>
    </row>
    <row r="5167" spans="4:5">
      <c r="D5167" s="437" t="s">
        <v>9346</v>
      </c>
      <c r="E5167" s="435"/>
    </row>
    <row r="5168" spans="4:5">
      <c r="D5168" s="434" t="s">
        <v>9347</v>
      </c>
      <c r="E5168" s="435" t="s">
        <v>9342</v>
      </c>
    </row>
    <row r="5169" spans="4:5">
      <c r="D5169" s="437" t="s">
        <v>9348</v>
      </c>
      <c r="E5169" s="435"/>
    </row>
    <row r="5170" spans="4:5">
      <c r="D5170" s="437" t="s">
        <v>9349</v>
      </c>
      <c r="E5170" s="435"/>
    </row>
    <row r="5171" spans="4:5">
      <c r="D5171" s="437" t="s">
        <v>9350</v>
      </c>
      <c r="E5171" s="435"/>
    </row>
    <row r="5172" spans="4:5">
      <c r="D5172" s="434" t="s">
        <v>9351</v>
      </c>
      <c r="E5172" s="435" t="s">
        <v>9352</v>
      </c>
    </row>
    <row r="5173" spans="4:5">
      <c r="D5173" s="437" t="s">
        <v>9353</v>
      </c>
      <c r="E5173" s="435"/>
    </row>
    <row r="5174" spans="4:5">
      <c r="D5174" s="437" t="s">
        <v>9354</v>
      </c>
      <c r="E5174" s="435"/>
    </row>
    <row r="5175" spans="4:5">
      <c r="D5175" s="434" t="s">
        <v>9355</v>
      </c>
      <c r="E5175" s="435" t="s">
        <v>9356</v>
      </c>
    </row>
  </sheetData>
  <sheetProtection password="9A0B" sheet="1" objects="1" scenarios="1" autoFilter="0"/>
  <mergeCells count="4">
    <mergeCell ref="A1:B1"/>
    <mergeCell ref="D1:E1"/>
    <mergeCell ref="G1:H1"/>
    <mergeCell ref="J1:K1"/>
  </mergeCells>
  <hyperlinks>
    <hyperlink ref="A2" r:id="rId1" location="sciname" tooltip="Click on Scientific Name to view more information about Scientific Name. Page opens in a new window." display="sciname"/>
    <hyperlink ref="B2" r:id="rId2" location="common" tooltip="Click on Common Name to view more information about Common Name. Page opens in a new window." display="http://www.plants.usda.gov/about_adv_search.html - common"/>
    <hyperlink ref="A3" r:id="rId3" display="http://www.plants.usda.gov/java/profile?symbol=AGHY"/>
    <hyperlink ref="A6" r:id="rId4" display="http://www.plants.usda.gov/java/profile?symbol=AGPE"/>
    <hyperlink ref="A14" r:id="rId5" display="http://www.plants.usda.gov/java/profile?symbol=AGSC5"/>
    <hyperlink ref="A22" r:id="rId6" display="http://www.plants.usda.gov/java/profile?symbol=ALAE"/>
    <hyperlink ref="A23" r:id="rId7" display="http://www.plants.usda.gov/java/profile?symbol=ALAEA"/>
    <hyperlink ref="A27" r:id="rId8" display="http://www.plants.usda.gov/java/profile?symbol=ALCA4"/>
    <hyperlink ref="A30" r:id="rId9" display="http://www.plants.usda.gov/java/profile?symbol=ANGE"/>
    <hyperlink ref="A35" r:id="rId10" display="http://www.plants.usda.gov/java/profile?symbol=ANHA"/>
    <hyperlink ref="A40" r:id="rId11" display="http://www.plants.usda.gov/java/profile?symbol=ANVI2"/>
    <hyperlink ref="A41" r:id="rId12" display="http://www.plants.usda.gov/java/profile?symbol=ANVIV"/>
    <hyperlink ref="A44" r:id="rId13" display="http://www.plants.usda.gov/java/profile?symbol=ARBA2"/>
    <hyperlink ref="A45" r:id="rId14" display="http://www.plants.usda.gov/java/profile?symbol=ARDI4"/>
    <hyperlink ref="A46" r:id="rId15" display="http://www.plants.usda.gov/java/profile?symbol=ARDIC"/>
    <hyperlink ref="A49" r:id="rId16" display="http://www.plants.usda.gov/java/profile?symbol=ARDID"/>
    <hyperlink ref="A50" r:id="rId17" display="http://www.plants.usda.gov/java/profile?symbol=ARLO16"/>
    <hyperlink ref="A52" r:id="rId18" display="http://www.plants.usda.gov/java/profile?symbol=ARLOG6"/>
    <hyperlink ref="A58" r:id="rId19" display="http://www.plants.usda.gov/java/profile?symbol=ARLOL3"/>
    <hyperlink ref="A61" r:id="rId20" display="http://www.plants.usda.gov/java/profile?symbol=AROL"/>
    <hyperlink ref="A63" r:id="rId21" display="http://www.plants.usda.gov/java/profile?symbol=ARPU9"/>
    <hyperlink ref="A64" r:id="rId22" display="http://www.plants.usda.gov/java/profile?symbol=ARPUL"/>
    <hyperlink ref="A69" r:id="rId23" display="http://www.plants.usda.gov/java/profile?symbol=ARRA2"/>
    <hyperlink ref="A70" r:id="rId24" display="http://www.plants.usda.gov/java/profile?symbol=ARTU"/>
    <hyperlink ref="A71" r:id="rId25" display="http://www.plants.usda.gov/java/profile?symbol=BESY"/>
    <hyperlink ref="A77" r:id="rId26" display="http://www.plants.usda.gov/java/profile?symbol=BOCU"/>
    <hyperlink ref="A78" r:id="rId27" display="http://www.plants.usda.gov/java/profile?symbol=BOCUC2"/>
    <hyperlink ref="A81" r:id="rId28" display="http://www.plants.usda.gov/java/profile?symbol=BODA2"/>
    <hyperlink ref="A86" r:id="rId29" display="http://www.plants.usda.gov/java/profile?symbol=BOGR2"/>
    <hyperlink ref="A91" r:id="rId30" display="http://www.plants.usda.gov/java/profile?symbol=BOHI2"/>
    <hyperlink ref="A92" r:id="rId31" display="http://www.plants.usda.gov/java/profile?symbol=BOHIH"/>
    <hyperlink ref="A96" r:id="rId32" display="http://www.plants.usda.gov/java/profile?symbol=BRAR9"/>
    <hyperlink ref="A101" r:id="rId33" display="http://www.plants.usda.gov/java/profile?symbol=BRER2"/>
    <hyperlink ref="A102" r:id="rId34" display="http://www.plants.usda.gov/java/profile?symbol=BRCI2"/>
    <hyperlink ref="A103" r:id="rId35" display="http://www.plants.usda.gov/java/profile?symbol=BRCIC3"/>
    <hyperlink ref="A111" r:id="rId36" display="http://www.plants.usda.gov/java/profile?symbol=BRIN2"/>
    <hyperlink ref="A112" r:id="rId37" display="http://www.plants.usda.gov/java/profile?symbol=BRKA2"/>
    <hyperlink ref="A116" r:id="rId38" display="http://www.plants.usda.gov/java/profile?symbol=BRLA4"/>
    <hyperlink ref="A119" r:id="rId39" display="http://www.plants.usda.gov/java/profile?symbol=BRMA4"/>
    <hyperlink ref="A128" r:id="rId40" display="http://www.plants.usda.gov/java/profile?symbol=BRNO"/>
    <hyperlink ref="A130" r:id="rId41" display="http://www.plants.usda.gov/java/profile?symbol=BRPU6"/>
    <hyperlink ref="A136" r:id="rId42" display="http://www.plants.usda.gov/java/profile?symbol=BUCA2"/>
    <hyperlink ref="A137" r:id="rId43" display="http://www.plants.usda.gov/java/profile?symbol=BUCAC"/>
    <hyperlink ref="A143" r:id="rId44" display="http://www.plants.usda.gov/java/profile?symbol=CACA4"/>
    <hyperlink ref="A144" r:id="rId45" display="http://www.plants.usda.gov/java/profile?symbol=CACAC10"/>
    <hyperlink ref="A156" r:id="rId46" display="http://www.plants.usda.gov/java/profile?symbol=CACAM"/>
    <hyperlink ref="A158" r:id="rId47" display="http://www.plants.usda.gov/java/profile?symbol=CAST36"/>
    <hyperlink ref="A159" r:id="rId48" display="http://www.plants.usda.gov/java/profile?symbol=CASTI3"/>
    <hyperlink ref="A181" r:id="rId49" display="http://www.plants.usda.gov/java/profile?symbol=CALO"/>
    <hyperlink ref="A182" r:id="rId50" display="http://www.plants.usda.gov/java/profile?symbol=CALOL2"/>
    <hyperlink ref="A183" r:id="rId51" display="http://www.plants.usda.gov/java/profile?symbol=CALOM"/>
    <hyperlink ref="A184" r:id="rId52" display="http://www.plants.usda.gov/java/profile?symbol=CAAG2"/>
    <hyperlink ref="A186" r:id="rId53" display="http://www.plants.usda.gov/java/profile?symbol=CAAL25"/>
    <hyperlink ref="A187" r:id="rId54" display="http://www.plants.usda.gov/java/profile?symbol=CAALA"/>
    <hyperlink ref="A193" r:id="rId55" display="http://www.plants.usda.gov/java/profile?symbol=CAAL11"/>
    <hyperlink ref="A195" r:id="rId56" display="http://www.plants.usda.gov/java/profile?symbol=CAAL8"/>
    <hyperlink ref="A196" r:id="rId57" display="http://www.plants.usda.gov/java/profile?symbol=CAAN6"/>
    <hyperlink ref="A200" r:id="rId58" display="http://www.plants.usda.gov/java/profile?symbol=CAAQ"/>
    <hyperlink ref="A201" r:id="rId59" display="http://www.plants.usda.gov/java/profile?symbol=CAAQA"/>
    <hyperlink ref="A208" r:id="rId60" display="http://www.plants.usda.gov/java/profile?symbol=CAAS2"/>
    <hyperlink ref="A209" r:id="rId61" display="http://www.plants.usda.gov/java/profile?symbol=CAAT2"/>
    <hyperlink ref="A210" r:id="rId62" display="http://www.plants.usda.gov/java/profile?symbol=CAAU6"/>
    <hyperlink ref="A213" r:id="rId63" display="http://www.plants.usda.gov/java/profile?symbol=CABA3"/>
    <hyperlink ref="A217" r:id="rId64" display="http://www.plants.usda.gov/java/profile?symbol=CABE2"/>
    <hyperlink ref="A218" r:id="rId65" display="http://www.plants.usda.gov/java/profile?symbol=CABI3"/>
    <hyperlink ref="A221" r:id="rId66" display="http://www.plants.usda.gov/java/profile?symbol=CABL"/>
    <hyperlink ref="A223" r:id="rId67" display="http://www.plants.usda.gov/java/profile?symbol=CABR10"/>
    <hyperlink ref="A225" r:id="rId68" display="http://www.plants.usda.gov/java/profile?symbol=CABU5"/>
    <hyperlink ref="A227" r:id="rId69" display="http://www.plants.usda.gov/java/profile?symbol=CABU6"/>
    <hyperlink ref="A228" r:id="rId70" display="http://www.plants.usda.gov/java/profile?symbol=CACA14"/>
    <hyperlink ref="A229" r:id="rId71" display="http://www.plants.usda.gov/java/profile?symbol=CACE2"/>
    <hyperlink ref="A231" r:id="rId72" display="http://www.plants.usda.gov/java/profile?symbol=CACE"/>
    <hyperlink ref="A232" r:id="rId73" display="http://www.plants.usda.gov/java/profile?symbol=CACH5"/>
    <hyperlink ref="A233" r:id="rId74" display="http://www.plants.usda.gov/java/profile?symbol=CACO7"/>
    <hyperlink ref="A234" r:id="rId75" display="http://www.plants.usda.gov/java/profile?symbol=CACOC4"/>
    <hyperlink ref="A235" r:id="rId76" display="http://www.plants.usda.gov/java/profile?symbol=CACO8"/>
    <hyperlink ref="A236" r:id="rId77" display="http://www.plants.usda.gov/java/profile?symbol=CACO13"/>
    <hyperlink ref="A237" r:id="rId78" display="http://www.plants.usda.gov/java/profile?symbol=CACO14"/>
    <hyperlink ref="A239" r:id="rId79" display="http://www.plants.usda.gov/java/profile?symbol=CACR3"/>
    <hyperlink ref="A240" r:id="rId80" display="http://www.plants.usda.gov/java/profile?symbol=CACR4"/>
    <hyperlink ref="A242" r:id="rId81" display="http://www.plants.usda.gov/java/profile?symbol=CACR6"/>
    <hyperlink ref="A243" r:id="rId82" display="http://www.plants.usda.gov/java/profile?symbol=CACRC2"/>
    <hyperlink ref="A246" r:id="rId83" display="http://www.plants.usda.gov/java/profile?symbol=CACR7"/>
    <hyperlink ref="A247" r:id="rId84" display="http://www.plants.usda.gov/java/profile?symbol=CACR8"/>
    <hyperlink ref="A249" r:id="rId85" display="http://www.plants.usda.gov/java/profile?symbol=CADA"/>
    <hyperlink ref="A250" r:id="rId86" display="http://www.plants.usda.gov/java/profile?symbol=CADE9"/>
    <hyperlink ref="A251" r:id="rId87" display="http://www.plants.usda.gov/java/profile?symbol=CADED4"/>
    <hyperlink ref="A252" r:id="rId88" display="http://www.plants.usda.gov/java/profile?symbol=CADI4"/>
    <hyperlink ref="A253" r:id="rId89" display="http://www.plants.usda.gov/java/profile?symbol=CADO2"/>
    <hyperlink ref="A254" r:id="rId90" display="http://www.plants.usda.gov/java/profile?symbol=CADU6"/>
    <hyperlink ref="A259" r:id="rId91" display="http://www.plants.usda.gov/java/profile?symbol=CAEB2"/>
    <hyperlink ref="A260" r:id="rId92" display="http://www.plants.usda.gov/java/profile?symbol=CAEC"/>
    <hyperlink ref="A261" r:id="rId93" display="http://www.plants.usda.gov/java/profile?symbol=CAECE"/>
    <hyperlink ref="A277" r:id="rId94" display="http://www.plants.usda.gov/java/profile?symbol=CAEM2"/>
    <hyperlink ref="A279" r:id="rId95" display="http://www.plants.usda.gov/java/profile?symbol=CAFE3"/>
    <hyperlink ref="A280" r:id="rId96" display="http://www.plants.usda.gov/java/profile?symbol=CAFO4"/>
    <hyperlink ref="A281" r:id="rId97" display="http://www.plants.usda.gov/java/profile?symbol=CAFR3"/>
    <hyperlink ref="A282" r:id="rId98" display="http://www.plants.usda.gov/java/profile?symbol=CAGR8"/>
    <hyperlink ref="A284" r:id="rId99" display="http://www.plants.usda.gov/java/profile?symbol=CAGR2"/>
    <hyperlink ref="A286" r:id="rId100" display="http://www.plants.usda.gov/java/profile?symbol=CAGR3"/>
    <hyperlink ref="A293" r:id="rId101" display="http://www.plants.usda.gov/java/profile?symbol=CAGR4"/>
    <hyperlink ref="A294" r:id="rId102" display="http://www.plants.usda.gov/java/profile?symbol=CAGRG2"/>
    <hyperlink ref="A295" r:id="rId103" display="http://www.plants.usda.gov/java/profile?symbol=CAGRL"/>
    <hyperlink ref="A297" r:id="rId104" display="http://www.plants.usda.gov/java/profile?symbol=CAGR5"/>
    <hyperlink ref="A300" r:id="rId105" display="http://www.plants.usda.gov/java/profile?symbol=CAGR24"/>
    <hyperlink ref="A302" r:id="rId106" display="http://www.plants.usda.gov/java/profile?symbol=CAHA7"/>
    <hyperlink ref="A305" r:id="rId107" display="http://www.plants.usda.gov/java/profile?symbol=CAHI6"/>
    <hyperlink ref="A308" r:id="rId108" display="http://www.plants.usda.gov/java/profile?symbol=CAHI5"/>
    <hyperlink ref="A309" r:id="rId109" display="http://www.plants.usda.gov/java/profile?symbol=CAHI8"/>
    <hyperlink ref="A310" r:id="rId110" display="http://www.plants.usda.gov/java/profile?symbol=CAHY3"/>
    <hyperlink ref="A315" r:id="rId111" display="http://www.plants.usda.gov/java/profile?symbol=CAHY4"/>
    <hyperlink ref="A316" r:id="rId112" display="http://www.plants.usda.gov/java/profile?symbol=CAIN9"/>
    <hyperlink ref="A317" r:id="rId113" display="http://www.plants.usda.gov/java/profile?symbol=CAINH2"/>
    <hyperlink ref="A322" r:id="rId114" display="http://www.plants.usda.gov/java/profile?symbol=CAIN11"/>
    <hyperlink ref="A325" r:id="rId115" display="http://www.plants.usda.gov/java/profile?symbol=CAIN12"/>
    <hyperlink ref="A327" r:id="rId116" display="http://www.plants.usda.gov/java/profile?symbol=CAJA2"/>
    <hyperlink ref="A329" r:id="rId117" display="http://www.plants.usda.gov/java/profile?symbol=CALA16"/>
    <hyperlink ref="A331" r:id="rId118" display="http://www.plants.usda.gov/java/profile?symbol=CALA12"/>
    <hyperlink ref="A332" r:id="rId119" display="http://www.plants.usda.gov/java/profile?symbol=CALA14"/>
    <hyperlink ref="A334" r:id="rId120" display="http://www.plants.usda.gov/java/profile?symbol=CALA11"/>
    <hyperlink ref="A335" r:id="rId121" display="http://www.plants.usda.gov/java/profile?symbol=CALAA"/>
    <hyperlink ref="A338" r:id="rId122" display="http://www.plants.usda.gov/java/profile?symbol=CALA18"/>
    <hyperlink ref="A339" r:id="rId123" display="http://www.plants.usda.gov/java/profile?symbol=CALAC"/>
    <hyperlink ref="A341" r:id="rId124" display="http://www.plants.usda.gov/java/profile?symbol=CALAL4"/>
    <hyperlink ref="A344" r:id="rId125" display="http://www.plants.usda.gov/java/profile?symbol=CALE6"/>
    <hyperlink ref="A347" r:id="rId126" display="http://www.plants.usda.gov/java/profile?symbol=CALE10"/>
    <hyperlink ref="A348" r:id="rId127" display="http://www.plants.usda.gov/java/profile?symbol=CALEL4"/>
    <hyperlink ref="A350" r:id="rId128" display="http://www.plants.usda.gov/java/profile?symbol=CALI7"/>
    <hyperlink ref="A351" r:id="rId129" display="http://www.plants.usda.gov/java/profile?symbol=CALU3"/>
    <hyperlink ref="A352" r:id="rId130" display="http://www.plants.usda.gov/java/profile?symbol=CALU4"/>
    <hyperlink ref="A355" r:id="rId131" display="http://www.plants.usda.gov/java/profile?symbol=CALU5"/>
    <hyperlink ref="A356" r:id="rId132" display="http://www.plants.usda.gov/java/profile?symbol=CAME2"/>
    <hyperlink ref="A358" r:id="rId133" display="http://www.plants.usda.gov/java/profile?symbol=CAME13"/>
    <hyperlink ref="A360" r:id="rId134" display="http://www.plants.usda.gov/java/profile?symbol=CAMI50"/>
    <hyperlink ref="A361" r:id="rId135" display="http://www.plants.usda.gov/java/profile?symbol=CAMO11"/>
    <hyperlink ref="A362" r:id="rId136" display="http://www.plants.usda.gov/java/profile?symbol=CAMU4"/>
    <hyperlink ref="A363" r:id="rId137" display="http://www.plants.usda.gov/java/profile?symbol=CAMUE"/>
    <hyperlink ref="A365" r:id="rId138" display="http://www.plants.usda.gov/java/profile?symbol=CAMUM"/>
    <hyperlink ref="A366" r:id="rId139" display="http://www.plants.usda.gov/java/profile?symbol=CAMU9"/>
    <hyperlink ref="A367" r:id="rId140" display="http://www.plants.usda.gov/java/profile?symbol=CANO"/>
    <hyperlink ref="A368" r:id="rId141" display="http://www.plants.usda.gov/java/profile?symbol=CANO2"/>
    <hyperlink ref="A369" r:id="rId142" display="http://www.plants.usda.gov/java/profile?symbol=CANOI"/>
    <hyperlink ref="A374" r:id="rId143" display="http://www.plants.usda.gov/java/profile?symbol=CAOL2"/>
    <hyperlink ref="A375" r:id="rId144" display="http://www.plants.usda.gov/java/profile?symbol=CAPE11"/>
    <hyperlink ref="A379" r:id="rId145" display="http://www.plants.usda.gov/java/profile?symbol=CAPE4"/>
    <hyperlink ref="A380" r:id="rId146" display="http://www.plants.usda.gov/java/profile?symbol=CAPE42"/>
    <hyperlink ref="A383" r:id="rId147" display="http://www.plants.usda.gov/java/profile?symbol=CAPE6"/>
    <hyperlink ref="A389" r:id="rId148" display="http://www.plants.usda.gov/java/profile?symbol=CAPL4"/>
    <hyperlink ref="A390" r:id="rId149" display="http://www.plants.usda.gov/java/profile?symbol=CAPR5"/>
    <hyperlink ref="A392" r:id="rId150" display="http://www.plants.usda.gov/java/profile?symbol=CAPR6"/>
    <hyperlink ref="A393" r:id="rId151" display="http://www.plants.usda.gov/java/profile?symbol=CAPR9"/>
    <hyperlink ref="A394" r:id="rId152" display="http://www.plants.usda.gov/java/profile?symbol=CARE9"/>
    <hyperlink ref="A395" r:id="rId153" display="http://www.plants.usda.gov/java/profile?symbol=CARE4"/>
    <hyperlink ref="A396" r:id="rId154" display="http://www.plants.usda.gov/java/profile?symbol=CARI"/>
    <hyperlink ref="A397" r:id="rId155" display="http://www.plants.usda.gov/java/profile?symbol=CARO22"/>
    <hyperlink ref="A401" r:id="rId156" display="http://www.plants.usda.gov/java/profile?symbol=CASA8"/>
    <hyperlink ref="A402" r:id="rId157" display="http://www.plants.usda.gov/java/profile?symbol=CASAS5"/>
    <hyperlink ref="A403" r:id="rId158" display="http://www.plants.usda.gov/java/profile?symbol=CASA9"/>
    <hyperlink ref="A405" r:id="rId159" display="http://www.plants.usda.gov/java/profile?symbol=CASC11"/>
    <hyperlink ref="A406" r:id="rId160" display="http://www.plants.usda.gov/java/profile?symbol=CASCS"/>
    <hyperlink ref="A410" r:id="rId161" display="http://www.plants.usda.gov/java/profile?symbol=CASH2"/>
    <hyperlink ref="A411" r:id="rId162" display="http://www.plants.usda.gov/java/profile?symbol=CASI12"/>
    <hyperlink ref="A417" r:id="rId163" display="http://www.plants.usda.gov/java/profile?symbol=CASP3"/>
    <hyperlink ref="A418" r:id="rId164" display="http://www.plants.usda.gov/java/profile?symbol=CASP7"/>
    <hyperlink ref="A419" r:id="rId165" display="http://www.plants.usda.gov/java/profile?symbol=CASQ2"/>
    <hyperlink ref="A420" r:id="rId166" display="http://www.plants.usda.gov/java/profile?symbol=CAST16"/>
    <hyperlink ref="A425" r:id="rId167" display="http://www.plants.usda.gov/java/profile?symbol=CAST5"/>
    <hyperlink ref="A426" r:id="rId168" display="http://www.plants.usda.gov/java/profile?symbol=CASTS3"/>
    <hyperlink ref="A427" r:id="rId169" display="http://www.plants.usda.gov/java/profile?symbol=CAST8"/>
    <hyperlink ref="A430" r:id="rId170" display="http://www.plants.usda.gov/java/profile?symbol=CASU5"/>
    <hyperlink ref="A431" r:id="rId171" display="http://www.plants.usda.gov/java/profile?symbol=CASY"/>
    <hyperlink ref="A432" r:id="rId172" display="http://www.plants.usda.gov/java/profile?symbol=CATE3"/>
    <hyperlink ref="A434" r:id="rId173" display="http://www.plants.usda.gov/java/profile?symbol=CATE6"/>
    <hyperlink ref="A435" r:id="rId174" display="http://www.plants.usda.gov/java/profile?symbol=CATO10"/>
    <hyperlink ref="A436" r:id="rId175" display="http://www.plants.usda.gov/java/profile?symbol=CATOT"/>
    <hyperlink ref="A439" r:id="rId176" display="http://www.plants.usda.gov/java/profile?symbol=CATR7"/>
    <hyperlink ref="A440" r:id="rId177" display="http://www.plants.usda.gov/java/profile?symbol=CATRT2"/>
    <hyperlink ref="A441" r:id="rId178" display="http://www.plants.usda.gov/java/profile?symbol=CATR8"/>
    <hyperlink ref="A442" r:id="rId179" display="http://www.plants.usda.gov/java/profile?symbol=CATU2"/>
    <hyperlink ref="A443" r:id="rId180" display="http://www.plants.usda.gov/java/profile?symbol=CATY"/>
    <hyperlink ref="A445" r:id="rId181" display="http://www.plants.usda.gov/java/profile?symbol=CAUM4"/>
    <hyperlink ref="A447" r:id="rId182" display="http://www.plants.usda.gov/java/profile?symbol=CAUT"/>
    <hyperlink ref="A451" r:id="rId183" display="http://www.plants.usda.gov/java/profile?symbol=CAVE6"/>
    <hyperlink ref="A452" r:id="rId184" display="http://www.plants.usda.gov/java/profile?symbol=CAVEM2"/>
    <hyperlink ref="A454" r:id="rId185" display="http://www.plants.usda.gov/java/profile?symbol=CAVU2"/>
    <hyperlink ref="A455" r:id="rId186" display="http://www.plants.usda.gov/java/profile?symbol=CAVUV"/>
    <hyperlink ref="A457" r:id="rId187" display="http://www.plants.usda.gov/java/profile?symbol=CAWO2"/>
    <hyperlink ref="A460" r:id="rId188" display="http://www.plants.usda.gov/java/profile?symbol=CAAQ3"/>
    <hyperlink ref="A461" r:id="rId189" display="http://www.plants.usda.gov/java/profile?symbol=CAAQA6"/>
    <hyperlink ref="A464" r:id="rId190" display="http://www.plants.usda.gov/java/profile?symbol=CELO3"/>
    <hyperlink ref="A466" r:id="rId191" display="http://www.plants.usda.gov/java/profile?symbol=CHLA5"/>
    <hyperlink ref="A468" r:id="rId192" display="http://www.plants.usda.gov/java/profile?symbol=CHVE2"/>
    <hyperlink ref="A469" r:id="rId193" display="http://www.plants.usda.gov/java/profile?symbol=CIAR2"/>
    <hyperlink ref="A471" r:id="rId194" display="http://www.plants.usda.gov/java/profile?symbol=CYAC2"/>
    <hyperlink ref="A472" r:id="rId195" display="http://www.plants.usda.gov/java/profile?symbol=CYBI6"/>
    <hyperlink ref="A476" r:id="rId196" display="http://www.plants.usda.gov/java/profile?symbol=CYDI3"/>
    <hyperlink ref="A477" r:id="rId197" display="http://www.plants.usda.gov/java/profile?symbol=CYER2"/>
    <hyperlink ref="A479" r:id="rId198" display="http://www.plants.usda.gov/java/profile?symbol=CYES"/>
    <hyperlink ref="A481" r:id="rId199" display="http://www.plants.usda.gov/java/profile?symbol=CYLU2"/>
    <hyperlink ref="A482" r:id="rId200" display="http://www.plants.usda.gov/java/profile?symbol=CYLUL"/>
    <hyperlink ref="A486" r:id="rId201" display="http://www.plants.usda.gov/java/profile?symbol=CYLUM"/>
    <hyperlink ref="A489" r:id="rId202" display="http://www.plants.usda.gov/java/profile?symbol=CYOD"/>
    <hyperlink ref="A507" r:id="rId203" display="http://www.plants.usda.gov/java/profile?symbol=CYSC3"/>
    <hyperlink ref="A511" r:id="rId204" display="http://www.plants.usda.gov/java/profile?symbol=CYSQ"/>
    <hyperlink ref="A516" r:id="rId205" display="http://www.plants.usda.gov/java/profile?symbol=CYST"/>
    <hyperlink ref="A523" r:id="rId206" display="http://www.plants.usda.gov/java/profile?symbol=DASP2"/>
    <hyperlink ref="A527" r:id="rId207" display="http://www.plants.usda.gov/java/profile?symbol=DIOB3"/>
    <hyperlink ref="A529" r:id="rId208" display="http://www.plants.usda.gov/java/profile?symbol=DIAC2"/>
    <hyperlink ref="A530" r:id="rId209" display="http://www.plants.usda.gov/java/profile?symbol=DIACA"/>
    <hyperlink ref="A537" r:id="rId210" display="http://www.plants.usda.gov/java/profile?symbol=DIACF"/>
    <hyperlink ref="A562" r:id="rId211" display="http://www.plants.usda.gov/java/profile?symbol=DIACL"/>
    <hyperlink ref="A569" r:id="rId212" display="http://www.plants.usda.gov/java/profile?symbol=DIBO"/>
    <hyperlink ref="A576" r:id="rId213" display="http://www.plants.usda.gov/java/profile?symbol=DICL"/>
    <hyperlink ref="A578" r:id="rId214" display="http://www.plants.usda.gov/java/profile?symbol=DICO4"/>
    <hyperlink ref="A583" r:id="rId215" display="http://www.plants.usda.gov/java/profile?symbol=DIDE4"/>
    <hyperlink ref="A588" r:id="rId216" display="http://www.plants.usda.gov/java/profile?symbol=DIDI6"/>
    <hyperlink ref="A589" r:id="rId217" display="http://www.plants.usda.gov/java/profile?symbol=DIDID"/>
    <hyperlink ref="A627" r:id="rId218" display="http://www.plants.usda.gov/java/profile?symbol=DILA8"/>
    <hyperlink ref="A629" r:id="rId219" display="http://www.plants.usda.gov/java/profile?symbol=DILE2"/>
    <hyperlink ref="A634" r:id="rId220" display="http://www.plants.usda.gov/java/profile?symbol=DILI2"/>
    <hyperlink ref="A644" r:id="rId221" display="http://www.plants.usda.gov/java/profile?symbol=DILO4"/>
    <hyperlink ref="A648" r:id="rId222" display="http://www.plants.usda.gov/java/profile?symbol=DIOL"/>
    <hyperlink ref="A649" r:id="rId223" display="http://www.plants.usda.gov/java/profile?symbol=DIOLO"/>
    <hyperlink ref="A651" r:id="rId224" display="http://www.plants.usda.gov/java/profile?symbol=DIOLS"/>
    <hyperlink ref="A659" r:id="rId225" display="http://www.plants.usda.gov/java/profile?symbol=DIOV"/>
    <hyperlink ref="A660" r:id="rId226" display="http://www.plants.usda.gov/java/profile?symbol=DIOVA"/>
    <hyperlink ref="A672" r:id="rId227" display="http://www.plants.usda.gov/java/profile?symbol=DIRA"/>
    <hyperlink ref="A674" r:id="rId228" display="http://www.plants.usda.gov/java/profile?symbol=DISA5"/>
    <hyperlink ref="A675" r:id="rId229" display="http://www.plants.usda.gov/java/profile?symbol=DISAP"/>
    <hyperlink ref="A692" r:id="rId230" display="http://www.plants.usda.gov/java/profile?symbol=DISAT"/>
    <hyperlink ref="A705" r:id="rId231" display="http://www.plants.usda.gov/java/profile?symbol=DISC4"/>
    <hyperlink ref="A709" r:id="rId232" display="http://www.plants.usda.gov/java/profile?symbol=DIVI7"/>
    <hyperlink ref="A710" r:id="rId233" display="http://www.plants.usda.gov/java/profile?symbol=DIVIP"/>
    <hyperlink ref="A714" r:id="rId234" display="http://www.plants.usda.gov/java/profile?symbol=DIVIV"/>
    <hyperlink ref="A727" r:id="rId235" display="http://www.plants.usda.gov/java/profile?symbol=DIWI5"/>
    <hyperlink ref="A731" r:id="rId236" display="http://www.plants.usda.gov/java/profile?symbol=DIXA"/>
    <hyperlink ref="A733" r:id="rId237" display="http://www.plants.usda.gov/java/profile?symbol=DIBI"/>
    <hyperlink ref="A736" r:id="rId238" display="http://www.plants.usda.gov/java/profile?symbol=DICI"/>
    <hyperlink ref="A744" r:id="rId239" display="http://www.plants.usda.gov/java/profile?symbol=DICO6"/>
    <hyperlink ref="A747" r:id="rId240" display="http://www.plants.usda.gov/java/profile?symbol=DIFI"/>
    <hyperlink ref="A752" r:id="rId241" display="http://www.plants.usda.gov/java/profile?symbol=DISA"/>
    <hyperlink ref="A755" r:id="rId242" display="http://www.plants.usda.gov/java/profile?symbol=DISP"/>
    <hyperlink ref="A765" r:id="rId243" display="http://www.plants.usda.gov/java/profile?symbol=DUAR3"/>
    <hyperlink ref="A766" r:id="rId244" display="http://www.plants.usda.gov/java/profile?symbol=DUARA"/>
    <hyperlink ref="A767" r:id="rId245" display="http://www.plants.usda.gov/java/profile?symbol=ECMU2"/>
    <hyperlink ref="A768" r:id="rId246" display="http://www.plants.usda.gov/java/profile?symbol=ECMUM"/>
    <hyperlink ref="A778" r:id="rId247" display="http://www.plants.usda.gov/java/profile?symbol=ECMUM2"/>
    <hyperlink ref="A783" r:id="rId248" display="http://www.plants.usda.gov/java/profile?symbol=ECWA"/>
    <hyperlink ref="A786" r:id="rId249" display="http://www.plants.usda.gov/java/profile?symbol=ELAC"/>
    <hyperlink ref="A787" r:id="rId250" display="http://www.plants.usda.gov/java/profile?symbol=ELACA"/>
    <hyperlink ref="A792" r:id="rId251" display="http://www.plants.usda.gov/java/profile?symbol=ELAT"/>
    <hyperlink ref="A795" r:id="rId252" display="http://www.plants.usda.gov/java/profile?symbol=ELCO2"/>
    <hyperlink ref="A796" r:id="rId253" display="http://www.plants.usda.gov/java/profile?symbol=ELCOC2"/>
    <hyperlink ref="A802" r:id="rId254" display="http://www.plants.usda.gov/java/profile?symbol=ELEL4"/>
    <hyperlink ref="A806" r:id="rId255" display="http://www.plants.usda.gov/java/profile?symbol=ELEN"/>
    <hyperlink ref="A815" r:id="rId256" display="http://www.plants.usda.gov/java/profile?symbol=ELER"/>
    <hyperlink ref="A819" r:id="rId257" display="http://www.plants.usda.gov/java/profile?symbol=ELIN"/>
    <hyperlink ref="A820" r:id="rId258" display="http://www.plants.usda.gov/java/profile?symbol=ELMA5"/>
    <hyperlink ref="A823" r:id="rId259" display="http://www.plants.usda.gov/java/profile?symbol=ELOB2"/>
    <hyperlink ref="A831" r:id="rId260" display="http://www.plants.usda.gov/java/profile?symbol=ELOL"/>
    <hyperlink ref="A832" r:id="rId261" display="http://www.plants.usda.gov/java/profile?symbol=ELOLO"/>
    <hyperlink ref="A835" r:id="rId262" display="http://www.plants.usda.gov/java/profile?symbol=ELOV"/>
    <hyperlink ref="A840" r:id="rId263" display="http://www.plants.usda.gov/java/profile?symbol=ELPA3"/>
    <hyperlink ref="A841" r:id="rId264" display="http://www.plants.usda.gov/java/profile?symbol=ELPAP"/>
    <hyperlink ref="A849" r:id="rId265" display="http://www.plants.usda.gov/java/profile?symbol=ELPA5"/>
    <hyperlink ref="A860" r:id="rId266" display="http://www.plants.usda.gov/java/profile?symbol=ELQU2"/>
    <hyperlink ref="A869" r:id="rId267" display="http://www.plants.usda.gov/java/profile?symbol=ELTE"/>
    <hyperlink ref="A870" r:id="rId268" display="http://www.plants.usda.gov/java/profile?symbol=ELTEV"/>
    <hyperlink ref="A873" r:id="rId269" display="http://www.plants.usda.gov/java/profile?symbol=ELWO"/>
    <hyperlink ref="A875" r:id="rId270" display="http://www.plants.usda.gov/java/profile?symbol=ELIO"/>
    <hyperlink ref="A878" r:id="rId271" display="http://www.plants.usda.gov/java/profile?symbol=ELMA8"/>
    <hyperlink ref="A883" r:id="rId272" display="http://www.plants.usda.gov/java/profile?symbol=ELMO4"/>
    <hyperlink ref="A888" r:id="rId273" display="http://www.plants.usda.gov/java/profile?symbol=ELCA4"/>
    <hyperlink ref="A897" r:id="rId274" display="http://www.plants.usda.gov/java/profile?symbol=ELDI3"/>
    <hyperlink ref="A899" r:id="rId275" display="http://www.plants.usda.gov/java/profile?symbol=ELHY"/>
    <hyperlink ref="A900" r:id="rId276" display="http://www.plants.usda.gov/java/profile?symbol=ELHYB"/>
    <hyperlink ref="A902" r:id="rId277" display="http://www.plants.usda.gov/java/profile?symbol=ELHYH"/>
    <hyperlink ref="A905" r:id="rId278" display="http://www.plants.usda.gov/java/profile?symbol=ELMA4"/>
    <hyperlink ref="A911" r:id="rId279" display="http://www.plants.usda.gov/java/profile?symbol=ELRI"/>
    <hyperlink ref="A913" r:id="rId280" display="http://www.plants.usda.gov/java/profile?symbol=ELSU"/>
    <hyperlink ref="A917" r:id="rId281" display="http://www.plants.usda.gov/java/profile?symbol=ELTR7"/>
    <hyperlink ref="A918" r:id="rId282" display="http://www.plants.usda.gov/java/profile?symbol=ELTRS"/>
    <hyperlink ref="A931" r:id="rId283" display="http://www.plants.usda.gov/java/profile?symbol=ELTRT"/>
    <hyperlink ref="A960" r:id="rId284" display="http://www.plants.usda.gov/java/profile?symbol=ELVI"/>
    <hyperlink ref="A965" r:id="rId285" display="http://www.plants.usda.gov/java/profile?symbol=ELVI3"/>
    <hyperlink ref="A966" r:id="rId286" display="http://www.plants.usda.gov/java/profile?symbol=ELVIV"/>
    <hyperlink ref="A978" r:id="rId287" display="http://www.plants.usda.gov/java/profile?symbol=ELWI"/>
    <hyperlink ref="A981" r:id="rId288" display="http://www.plants.usda.gov/java/profile?symbol=ERCA"/>
    <hyperlink ref="A982" r:id="rId289" display="http://www.plants.usda.gov/java/profile?symbol=ERFR"/>
    <hyperlink ref="A984" r:id="rId290" display="http://www.plants.usda.gov/java/profile?symbol=ERHY"/>
    <hyperlink ref="A986" r:id="rId291" display="http://www.plants.usda.gov/java/profile?symbol=ERME"/>
    <hyperlink ref="A987" r:id="rId292" display="http://www.plants.usda.gov/java/profile?symbol=ERMEM"/>
    <hyperlink ref="A990" r:id="rId293" display="http://www.plants.usda.gov/java/profile?symbol=ERPE"/>
    <hyperlink ref="A991" r:id="rId294" display="http://www.plants.usda.gov/java/profile?symbol=ERPEP2"/>
    <hyperlink ref="A996" r:id="rId295" display="http://www.plants.usda.gov/java/profile?symbol=ERPI2"/>
    <hyperlink ref="A1002" r:id="rId296" display="http://www.plants.usda.gov/java/profile?symbol=ERSP"/>
    <hyperlink ref="A1005" r:id="rId297" display="http://www.plants.usda.gov/java/profile?symbol=ERTR3"/>
    <hyperlink ref="A1009" r:id="rId298" display="http://www.plants.usda.gov/java/profile?symbol=ERAN6"/>
    <hyperlink ref="A1010" r:id="rId299" display="http://www.plants.usda.gov/java/profile?symbol=ERANA3"/>
    <hyperlink ref="A1017" r:id="rId300" display="http://www.plants.usda.gov/java/profile?symbol=ERGR8"/>
    <hyperlink ref="A1018" r:id="rId301" display="http://www.plants.usda.gov/java/profile?symbol=ERGRG2"/>
    <hyperlink ref="A1019" r:id="rId302" display="http://www.plants.usda.gov/java/profile?symbol=ERVI8"/>
    <hyperlink ref="A1020" r:id="rId303" display="http://www.plants.usda.gov/java/profile?symbol=ERVI9"/>
    <hyperlink ref="A1021" r:id="rId304" display="http://www.plants.usda.gov/java/profile?symbol=FEPA2"/>
    <hyperlink ref="A1024" r:id="rId305" display="http://www.plants.usda.gov/java/profile?symbol=FERU2"/>
    <hyperlink ref="A1025" r:id="rId306" display="http://www.plants.usda.gov/java/profile?symbol=FERUR2"/>
    <hyperlink ref="A1033" r:id="rId307" display="http://www.plants.usda.gov/java/profile?symbol=FESA"/>
    <hyperlink ref="A1034" r:id="rId308" display="http://www.plants.usda.gov/java/profile?symbol=FESAS"/>
    <hyperlink ref="A1039" r:id="rId309" display="http://www.plants.usda.gov/java/profile?symbol=FESU3"/>
    <hyperlink ref="A1041" r:id="rId310" display="http://www.plants.usda.gov/java/profile?symbol=FIAU2"/>
    <hyperlink ref="A1045" r:id="rId311" display="http://www.plants.usda.gov/java/profile?symbol=FUSI"/>
    <hyperlink ref="A1046" r:id="rId312" display="http://www.plants.usda.gov/java/profile?symbol=FUSIA"/>
    <hyperlink ref="A1048" r:id="rId313" display="http://www.plants.usda.gov/java/profile?symbol=GLBO"/>
    <hyperlink ref="A1050" r:id="rId314" display="http://www.plants.usda.gov/java/profile?symbol=GLGR"/>
    <hyperlink ref="A1051" r:id="rId315" display="http://www.plants.usda.gov/java/profile?symbol=GLGRG"/>
    <hyperlink ref="A1055" r:id="rId316" display="http://www.plants.usda.gov/java/profile?symbol=GLSE3"/>
    <hyperlink ref="A1057" r:id="rId317" display="http://www.plants.usda.gov/java/profile?symbol=GLST"/>
    <hyperlink ref="A1064" r:id="rId318" display="http://www.plants.usda.gov/java/profile?symbol=HECO26"/>
    <hyperlink ref="A1065" r:id="rId319" display="http://www.plants.usda.gov/java/profile?symbol=HECOC8"/>
    <hyperlink ref="A1069" r:id="rId320" display="http://www.plants.usda.gov/java/profile?symbol=HESP11"/>
    <hyperlink ref="A1071" r:id="rId321" display="http://www.plants.usda.gov/java/profile?symbol=HIHI"/>
    <hyperlink ref="A1072" r:id="rId322" display="http://www.plants.usda.gov/java/profile?symbol=HIHIA"/>
    <hyperlink ref="A1075" r:id="rId323" display="http://www.plants.usda.gov/java/profile?symbol=HOJU"/>
    <hyperlink ref="A1076" r:id="rId324" display="http://www.plants.usda.gov/java/profile?symbol=HOJUJ"/>
    <hyperlink ref="A1078" r:id="rId325" display="http://www.plants.usda.gov/java/profile?symbol=HOPU"/>
    <hyperlink ref="A1081" r:id="rId326" display="http://www.plants.usda.gov/java/profile?symbol=ISME"/>
    <hyperlink ref="A1082" r:id="rId327" display="http://www.plants.usda.gov/java/profile?symbol=JUAC"/>
    <hyperlink ref="A1083" r:id="rId328" display="http://www.plants.usda.gov/java/profile?symbol=JUAL4"/>
    <hyperlink ref="A1084" r:id="rId329" display="http://www.plants.usda.gov/java/profile?symbol=JUALN"/>
    <hyperlink ref="A1093" r:id="rId330" display="http://www.plants.usda.gov/java/profile?symbol=JUAN3"/>
    <hyperlink ref="A1096" r:id="rId331" display="http://www.plants.usda.gov/java/profile?symbol=JUAR2"/>
    <hyperlink ref="A1097" r:id="rId332" display="http://www.plants.usda.gov/java/profile?symbol=JUARL"/>
    <hyperlink ref="A1111" r:id="rId333" display="http://www.plants.usda.gov/java/profile?symbol=JUBU"/>
    <hyperlink ref="A1112" r:id="rId334" display="http://www.plants.usda.gov/java/profile?symbol=JUBUB"/>
    <hyperlink ref="A1113" r:id="rId335" display="http://www.plants.usda.gov/java/profile?symbol=JUCA3"/>
    <hyperlink ref="A1116" r:id="rId336" display="http://www.plants.usda.gov/java/profile?symbol=JUDU2"/>
    <hyperlink ref="A1119" r:id="rId337" display="http://www.plants.usda.gov/java/profile?symbol=JUEF"/>
    <hyperlink ref="A1120" r:id="rId338" display="http://www.plants.usda.gov/java/profile?symbol=JUEFS"/>
    <hyperlink ref="A1123" r:id="rId339" display="http://www.plants.usda.gov/java/profile?symbol=JUGR"/>
    <hyperlink ref="A1124" r:id="rId340" display="http://www.plants.usda.gov/java/profile?symbol=JUIN2"/>
    <hyperlink ref="A1125" r:id="rId341" display="http://www.plants.usda.gov/java/profile?symbol=JUINI"/>
    <hyperlink ref="A1127" r:id="rId342" display="http://www.plants.usda.gov/java/profile?symbol=JUMA4"/>
    <hyperlink ref="A1131" r:id="rId343" display="http://www.plants.usda.gov/java/profile?symbol=JUNO3"/>
    <hyperlink ref="A1132" r:id="rId344" display="http://www.plants.usda.gov/java/profile?symbol=JUNO2"/>
    <hyperlink ref="A1133" r:id="rId345" display="http://www.plants.usda.gov/java/profile?symbol=JUNON"/>
    <hyperlink ref="A1134" r:id="rId346" display="http://www.plants.usda.gov/java/profile?symbol=JUTE"/>
    <hyperlink ref="A1138" r:id="rId347" display="http://www.plants.usda.gov/java/profile?symbol=JUTO"/>
    <hyperlink ref="A1139" r:id="rId348" display="http://www.plants.usda.gov/java/profile?symbol=JUVA"/>
    <hyperlink ref="A1141" r:id="rId349" display="http://www.plants.usda.gov/java/profile?symbol=KOMA"/>
    <hyperlink ref="A1150" r:id="rId350" display="http://www.plants.usda.gov/java/profile?symbol=LELE2"/>
    <hyperlink ref="A1152" r:id="rId351" display="http://www.plants.usda.gov/java/profile?symbol=LEOR"/>
    <hyperlink ref="A1155" r:id="rId352" display="http://www.plants.usda.gov/java/profile?symbol=LEVI2"/>
    <hyperlink ref="A1158" r:id="rId353" display="http://www.plants.usda.gov/java/profile?symbol=LEFU21"/>
    <hyperlink ref="A1159" r:id="rId354" display="http://www.plants.usda.gov/java/profile?symbol=LEFUF"/>
    <hyperlink ref="A1168" r:id="rId355" display="http://www.plants.usda.gov/java/profile?symbol=LIAR6"/>
    <hyperlink ref="A1172" r:id="rId356" display="http://www.plants.usda.gov/java/profile?symbol=LIDR3"/>
    <hyperlink ref="A1176" r:id="rId357" display="http://www.plants.usda.gov/java/profile?symbol=LIMI12"/>
    <hyperlink ref="A1181" r:id="rId358" display="http://www.plants.usda.gov/java/profile?symbol=LUAC"/>
    <hyperlink ref="A1182" r:id="rId359" display="http://www.plants.usda.gov/java/profile?symbol=LUACA2"/>
    <hyperlink ref="A1189" r:id="rId360" display="http://www.plants.usda.gov/java/profile?symbol=LUBU"/>
    <hyperlink ref="A1193" r:id="rId361" display="http://www.plants.usda.gov/java/profile?symbol=LUEC"/>
    <hyperlink ref="A1198" r:id="rId362" display="http://www.plants.usda.gov/java/profile?symbol=LUMU2"/>
    <hyperlink ref="A1199" r:id="rId363" display="http://www.plants.usda.gov/java/profile?symbol=LUMUM"/>
    <hyperlink ref="A1200" r:id="rId364" display="http://www.plants.usda.gov/java/profile?symbol=LUMUM2"/>
    <hyperlink ref="A1204" r:id="rId365" display="http://www.plants.usda.gov/java/profile?symbol=MEMU"/>
    <hyperlink ref="A1205" r:id="rId366" display="http://www.plants.usda.gov/java/profile?symbol=MENI"/>
    <hyperlink ref="A1206" r:id="rId367" display="http://www.plants.usda.gov/java/profile?symbol=MIEF"/>
    <hyperlink ref="A1207" r:id="rId368" display="http://www.plants.usda.gov/java/profile?symbol=MIEFC"/>
    <hyperlink ref="A1208" r:id="rId369" display="http://www.plants.usda.gov/java/profile?symbol=MUAS"/>
    <hyperlink ref="A1210" r:id="rId370" display="http://www.plants.usda.gov/java/profile?symbol=MUBU"/>
    <hyperlink ref="A1212" r:id="rId371" display="http://www.plants.usda.gov/java/profile?symbol=MUCU2"/>
    <hyperlink ref="A1215" r:id="rId372" display="http://www.plants.usda.gov/java/profile?symbol=MUCU3"/>
    <hyperlink ref="A1217" r:id="rId373" display="http://www.plants.usda.gov/java/profile?symbol=MUFR2"/>
    <hyperlink ref="A1220" r:id="rId374" display="http://www.plants.usda.gov/java/profile?symbol=MUGL"/>
    <hyperlink ref="A1221" r:id="rId375" display="http://www.plants.usda.gov/java/profile?symbol=MUGL3"/>
    <hyperlink ref="A1224" r:id="rId376" display="http://www.plants.usda.gov/java/profile?symbol=MUME2"/>
    <hyperlink ref="A1231" r:id="rId377" display="http://www.plants.usda.gov/java/profile?symbol=MURA"/>
    <hyperlink ref="A1233" r:id="rId378" display="http://www.plants.usda.gov/java/profile?symbol=MUSC"/>
    <hyperlink ref="A1236" r:id="rId379" display="http://www.plants.usda.gov/java/profile?symbol=MUSO"/>
    <hyperlink ref="A1239" r:id="rId380" display="http://www.plants.usda.gov/java/profile?symbol=MUSY"/>
    <hyperlink ref="A1243" r:id="rId381" display="http://www.plants.usda.gov/java/profile?symbol=MUTE"/>
    <hyperlink ref="A1247" r:id="rId382" display="http://www.plants.usda.gov/java/profile?symbol=NAVI4"/>
    <hyperlink ref="A1249" r:id="rId383" display="http://www.plants.usda.gov/java/profile?symbol=NERE3"/>
    <hyperlink ref="A1253" r:id="rId384" display="http://www.plants.usda.gov/java/profile?symbol=ORAS"/>
    <hyperlink ref="A1254" r:id="rId385" display="http://www.plants.usda.gov/java/profile?symbol=PAAN"/>
    <hyperlink ref="A1257" r:id="rId386" display="http://www.plants.usda.gov/java/profile?symbol=PACA6"/>
    <hyperlink ref="A1264" r:id="rId387" display="http://www.plants.usda.gov/java/profile?symbol=PADI"/>
    <hyperlink ref="A1265" r:id="rId388" display="http://www.plants.usda.gov/java/profile?symbol=PADID"/>
    <hyperlink ref="A1267" r:id="rId389" display="http://www.plants.usda.gov/java/profile?symbol=PAFL2"/>
    <hyperlink ref="A1269" r:id="rId390" display="http://www.plants.usda.gov/java/profile?symbol=PAGA"/>
    <hyperlink ref="A1272" r:id="rId391" display="http://www.plants.usda.gov/java/profile?symbol=PAHI3"/>
    <hyperlink ref="A1273" r:id="rId392" display="http://www.plants.usda.gov/java/profile?symbol=PAPH"/>
    <hyperlink ref="A1278" r:id="rId393" display="http://www.plants.usda.gov/java/profile?symbol=PAVI2"/>
    <hyperlink ref="A1279" r:id="rId394" display="http://www.plants.usda.gov/java/profile?symbol=PAVIV"/>
    <hyperlink ref="A1282" r:id="rId395" display="http://www.plants.usda.gov/java/profile?symbol=PASM"/>
    <hyperlink ref="A1290" r:id="rId396" display="http://www.plants.usda.gov/java/profile?symbol=PASE5"/>
    <hyperlink ref="A1314" r:id="rId397" display="http://www.plants.usda.gov/java/profile?symbol=PHAR3"/>
    <hyperlink ref="A1318" r:id="rId398" display="http://www.plants.usda.gov/java/profile?symbol=PHAU7"/>
    <hyperlink ref="A1324" r:id="rId399" display="http://www.plants.usda.gov/java/profile?symbol=PIPU7"/>
    <hyperlink ref="A1326" r:id="rId400" display="http://www.plants.usda.gov/java/profile?symbol=PIRA5"/>
    <hyperlink ref="A1328" r:id="rId401" display="http://www.plants.usda.gov/java/profile?symbol=POAR3"/>
    <hyperlink ref="A1331" r:id="rId402" display="http://www.plants.usda.gov/java/profile?symbol=POCH2"/>
    <hyperlink ref="A1332" r:id="rId403" display="http://www.plants.usda.gov/java/profile?symbol=PONE"/>
    <hyperlink ref="A1333" r:id="rId404" display="http://www.plants.usda.gov/java/profile?symbol=POPA"/>
    <hyperlink ref="A1334" r:id="rId405" display="http://www.plants.usda.gov/java/profile?symbol=POPA2"/>
    <hyperlink ref="A1338" r:id="rId406" display="http://www.plants.usda.gov/java/profile?symbol=POPR"/>
    <hyperlink ref="A1339" r:id="rId407" display="http://www.plants.usda.gov/java/profile?symbol=POPRP2"/>
    <hyperlink ref="A1348" r:id="rId408" display="http://www.plants.usda.gov/java/profile?symbol=POSA"/>
    <hyperlink ref="A1352" r:id="rId409" display="http://www.plants.usda.gov/java/profile?symbol=POSY"/>
    <hyperlink ref="A1353" r:id="rId410" display="http://www.plants.usda.gov/java/profile?symbol=POWO"/>
    <hyperlink ref="A1354" r:id="rId411" display="http://www.plants.usda.gov/java/profile?symbol=PUDI"/>
    <hyperlink ref="A1355" r:id="rId412" display="http://www.plants.usda.gov/java/profile?symbol=RHCA11"/>
    <hyperlink ref="A1358" r:id="rId413" display="http://www.plants.usda.gov/java/profile?symbol=SCPA"/>
    <hyperlink ref="A1359" r:id="rId414" display="http://www.plants.usda.gov/java/profile?symbol=SCPU"/>
    <hyperlink ref="A1365" r:id="rId415" display="http://www.plants.usda.gov/java/profile?symbol=SCSC"/>
    <hyperlink ref="A1366" r:id="rId416" display="http://www.plants.usda.gov/java/profile?symbol=SCSCS"/>
    <hyperlink ref="A1379" r:id="rId417" display="http://www.plants.usda.gov/java/profile?symbol=SCAC3"/>
    <hyperlink ref="A1380" r:id="rId418" display="http://www.plants.usda.gov/java/profile?symbol=SCACA"/>
    <hyperlink ref="A1384" r:id="rId419" display="http://www.plants.usda.gov/java/profile?symbol=SCFL11"/>
    <hyperlink ref="A1388" r:id="rId420" display="http://www.plants.usda.gov/java/profile?symbol=SCHA9"/>
    <hyperlink ref="A1393" r:id="rId421" display="http://www.plants.usda.gov/java/profile?symbol=SCHE5"/>
    <hyperlink ref="A1398" r:id="rId422" display="http://www.plants.usda.gov/java/profile?symbol=SCMA8"/>
    <hyperlink ref="A1410" r:id="rId423" display="http://www.plants.usda.gov/java/profile?symbol=SCOB10"/>
    <hyperlink ref="A1413" r:id="rId424" display="http://www.plants.usda.gov/java/profile?symbol=SCPU10"/>
    <hyperlink ref="A1414" r:id="rId425" display="http://www.plants.usda.gov/java/profile?symbol=SCPUL4"/>
    <hyperlink ref="A1417" r:id="rId426" display="http://www.plants.usda.gov/java/profile?symbol=SCPUP5"/>
    <hyperlink ref="A1424" r:id="rId427" display="http://www.plants.usda.gov/java/profile?symbol=SCSM2"/>
    <hyperlink ref="A1428" r:id="rId428" display="http://www.plants.usda.gov/java/profile?symbol=SCTA2"/>
    <hyperlink ref="A1442" r:id="rId429" display="http://www.plants.usda.gov/java/profile?symbol=SCTO3"/>
    <hyperlink ref="A1444" r:id="rId430" display="http://www.plants.usda.gov/java/profile?symbol=SCAT4"/>
    <hyperlink ref="A1446" r:id="rId431" display="http://www.plants.usda.gov/java/profile?symbol=SCAT2"/>
    <hyperlink ref="A1447" r:id="rId432" display="http://www.plants.usda.gov/java/profile?symbol=SCCY"/>
    <hyperlink ref="A1455" r:id="rId433" display="http://www.plants.usda.gov/java/profile?symbol=SCMI2"/>
    <hyperlink ref="A1459" r:id="rId434" display="http://www.plants.usda.gov/java/profile?symbol=SCPA8"/>
    <hyperlink ref="A1461" r:id="rId435" display="http://www.plants.usda.gov/java/profile?symbol=SCPE3"/>
    <hyperlink ref="A1464" r:id="rId436" display="http://www.plants.usda.gov/java/profile?symbol=SCPE4"/>
    <hyperlink ref="A1466" r:id="rId437" display="http://www.plants.usda.gov/java/profile?symbol=SCTR"/>
    <hyperlink ref="A1469" r:id="rId438" display="http://www.plants.usda.gov/java/profile?symbol=SCVE2"/>
    <hyperlink ref="A1471" r:id="rId439" display="http://www.plants.usda.gov/java/profile?symbol=SCDU2"/>
    <hyperlink ref="A1473" r:id="rId440" display="http://www.plants.usda.gov/java/profile?symbol=SCFE"/>
    <hyperlink ref="A1476" r:id="rId441" display="http://www.plants.usda.gov/java/profile?symbol=SEPA10"/>
    <hyperlink ref="A1482" r:id="rId442" display="http://www.plants.usda.gov/java/profile?symbol=SONU2"/>
    <hyperlink ref="A1485" r:id="rId443" display="http://www.plants.usda.gov/java/profile?symbol=SPPE"/>
    <hyperlink ref="A1488" r:id="rId444" display="http://www.plants.usda.gov/java/profile?symbol=SPIN3"/>
    <hyperlink ref="A1491" r:id="rId445" display="http://www.plants.usda.gov/java/profile?symbol=SPOB"/>
    <hyperlink ref="A1495" r:id="rId446" display="http://www.plants.usda.gov/java/profile?symbol=SPCL"/>
    <hyperlink ref="A1502" r:id="rId447" display="http://www.plants.usda.gov/java/profile?symbol=SPCO16"/>
    <hyperlink ref="A1503" r:id="rId448" display="http://www.plants.usda.gov/java/profile?symbol=SPCOC2"/>
    <hyperlink ref="A1506" r:id="rId449" display="http://www.plants.usda.gov/java/profile?symbol=SPCOD3"/>
    <hyperlink ref="A1512" r:id="rId450" display="http://www.plants.usda.gov/java/profile?symbol=SPCR"/>
    <hyperlink ref="A1517" r:id="rId451" display="http://www.plants.usda.gov/java/profile?symbol=SPHE"/>
    <hyperlink ref="A1518" r:id="rId452" display="http://www.plants.usda.gov/java/profile?symbol=SPNE2"/>
    <hyperlink ref="A1520" r:id="rId453" display="http://www.plants.usda.gov/java/profile?symbol=SPVA"/>
    <hyperlink ref="A1521" r:id="rId454" display="http://www.plants.usda.gov/java/profile?symbol=SPVAV2"/>
    <hyperlink ref="A1523" r:id="rId455" display="http://www.plants.usda.gov/java/profile?symbol=TRFL2"/>
    <hyperlink ref="A1524" r:id="rId456" display="http://www.plants.usda.gov/java/profile?symbol=TRFLF"/>
    <hyperlink ref="A1526" r:id="rId457" display="http://www.plants.usda.gov/java/profile?symbol=TRMA20"/>
    <hyperlink ref="A1532" r:id="rId458" display="http://www.plants.usda.gov/java/profile?symbol=TRPA28"/>
    <hyperlink ref="A1534" r:id="rId459" display="http://www.plants.usda.gov/java/profile?symbol=TRPU4"/>
    <hyperlink ref="A1536" r:id="rId460" display="http://www.plants.usda.gov/java/profile?symbol=TRDA3"/>
    <hyperlink ref="A1539" r:id="rId461" display="http://www.plants.usda.gov/java/profile?symbol=VUEL"/>
    <hyperlink ref="A1542" r:id="rId462" display="http://www.plants.usda.gov/java/profile?symbol=VUOC"/>
    <hyperlink ref="A1543" r:id="rId463" display="http://www.plants.usda.gov/java/profile?symbol=VUOCG"/>
    <hyperlink ref="A1550" r:id="rId464" display="http://www.plants.usda.gov/java/profile?symbol=VUOCH"/>
    <hyperlink ref="A1553" r:id="rId465" display="http://www.plants.usda.gov/java/profile?symbol=VUOCO"/>
    <hyperlink ref="A1556" r:id="rId466" display="http://www.plants.usda.gov/java/profile?symbol=ZIAQ"/>
    <hyperlink ref="A1557" r:id="rId467" display="http://www.plants.usda.gov/java/profile?symbol=ZIAQA2"/>
    <hyperlink ref="A1559" r:id="rId468" display="http://www.plants.usda.gov/java/profile?symbol=ZIPA3"/>
    <hyperlink ref="A1560" r:id="rId469" display="http://www.plants.usda.gov/java/profile?symbol=ZIPAI"/>
    <hyperlink ref="A1562" r:id="rId470" display="http://www.plants.usda.gov/java/profile?symbol=ZIPAP"/>
    <hyperlink ref="D2" r:id="rId471" location="sciname" tooltip="Click on Scientific Name to view more information about Scientific Name. Page opens in a new window." display="sciname"/>
    <hyperlink ref="E2" r:id="rId472" location="common" tooltip="Click on Common Name to view more information about Common Name. Page opens in a new window." display="http://www.plants.usda.gov/about_adv_search.html - common"/>
    <hyperlink ref="D3" r:id="rId473" display="http://www.plants.usda.gov/java/profile?symbol=ACDE4"/>
    <hyperlink ref="D6" r:id="rId474" display="http://www.plants.usda.gov/java/profile?symbol=ACGR2"/>
    <hyperlink ref="D10" r:id="rId475" display="http://www.plants.usda.gov/java/profile?symbol=ACOS"/>
    <hyperlink ref="D12" r:id="rId476" display="http://www.plants.usda.gov/java/profile?symbol=ACRH"/>
    <hyperlink ref="D14" r:id="rId477" display="http://www.plants.usda.gov/java/profile?symbol=ACVI"/>
    <hyperlink ref="D15" r:id="rId478" display="http://www.plants.usda.gov/java/profile?symbol=ACMI2"/>
    <hyperlink ref="D16" r:id="rId479" display="http://www.plants.usda.gov/java/profile?symbol=ACMIO"/>
    <hyperlink ref="D37" r:id="rId480" display="http://www.plants.usda.gov/java/profile?symbol=ACCO4"/>
    <hyperlink ref="D38" r:id="rId481" display="http://www.plants.usda.gov/java/profile?symbol=ACCOC3"/>
    <hyperlink ref="D45" r:id="rId482" display="http://www.plants.usda.gov/java/profile?symbol=ACNO2"/>
    <hyperlink ref="D48" r:id="rId483" display="http://www.plants.usda.gov/java/profile?symbol=ACAM"/>
    <hyperlink ref="D51" r:id="rId484" display="http://www.plants.usda.gov/java/profile?symbol=ACCA4"/>
    <hyperlink ref="D52" r:id="rId485" display="http://www.plants.usda.gov/java/profile?symbol=ACPA"/>
    <hyperlink ref="D54" r:id="rId486" display="http://www.plants.usda.gov/java/profile?symbol=ACRA7"/>
    <hyperlink ref="D55" r:id="rId487" display="http://www.plants.usda.gov/java/profile?symbol=ACRAR"/>
    <hyperlink ref="D57" r:id="rId488" display="http://www.plants.usda.gov/java/profile?symbol=ACRU2"/>
    <hyperlink ref="D58" r:id="rId489" display="http://www.plants.usda.gov/java/profile?symbol=ACRUR2"/>
    <hyperlink ref="D60" r:id="rId490" display="http://www.plants.usda.gov/java/profile?symbol=ADPE"/>
    <hyperlink ref="D61" r:id="rId491" display="http://www.plants.usda.gov/java/profile?symbol=ADFU"/>
    <hyperlink ref="D62" r:id="rId492" display="http://www.plants.usda.gov/java/profile?symbol=ADMO"/>
    <hyperlink ref="D63" r:id="rId493" display="http://www.plants.usda.gov/java/profile?symbol=AGAS2"/>
    <hyperlink ref="D65" r:id="rId494" display="http://www.plants.usda.gov/java/profile?symbol=AGAU3"/>
    <hyperlink ref="D70" r:id="rId495" display="http://www.plants.usda.gov/java/profile?symbol=AGGA"/>
    <hyperlink ref="D72" r:id="rId496" display="http://www.plants.usda.gov/java/profile?symbol=AGPA12"/>
    <hyperlink ref="D73" r:id="rId497" display="http://www.plants.usda.gov/java/profile?symbol=AGPAB"/>
    <hyperlink ref="D78" r:id="rId498" display="http://www.plants.usda.gov/java/profile?symbol=AGPAP3"/>
    <hyperlink ref="D82" r:id="rId499" display="http://www.plants.usda.gov/java/profile?symbol=AGPU5"/>
    <hyperlink ref="D88" r:id="rId500" display="http://www.plants.usda.gov/java/profile?symbol=AGSK"/>
    <hyperlink ref="D90" r:id="rId501" display="http://www.plants.usda.gov/java/profile?symbol=AGTE3"/>
    <hyperlink ref="D91" r:id="rId502" display="http://www.plants.usda.gov/java/profile?symbol=AGTEM"/>
    <hyperlink ref="D96" r:id="rId503" display="http://www.plants.usda.gov/java/profile?symbol=AGTEP2"/>
    <hyperlink ref="D99" r:id="rId504" display="http://www.plants.usda.gov/java/profile?symbol=AGFO"/>
    <hyperlink ref="D101" r:id="rId505" display="http://www.plants.usda.gov/java/profile?symbol=AGNE2"/>
    <hyperlink ref="D102" r:id="rId506" display="http://www.plants.usda.gov/java/profile?symbol=AGSC"/>
    <hyperlink ref="D104" r:id="rId507" display="http://www.plants.usda.gov/java/profile?symbol=AGAL5"/>
    <hyperlink ref="D105" r:id="rId508" display="http://www.plants.usda.gov/java/profile?symbol=AGALA"/>
    <hyperlink ref="D112" r:id="rId509" display="http://www.plants.usda.gov/java/profile?symbol=AGGL"/>
    <hyperlink ref="D113" r:id="rId510" display="http://www.plants.usda.gov/java/profile?symbol=AGGLG"/>
    <hyperlink ref="D116" r:id="rId511" display="http://www.plants.usda.gov/java/profile?symbol=AGGR2"/>
    <hyperlink ref="D117" r:id="rId512" display="http://www.plants.usda.gov/java/profile?symbol=AGPA6"/>
    <hyperlink ref="D118" r:id="rId513" display="http://www.plants.usda.gov/java/profile?symbol=AGPU"/>
    <hyperlink ref="D121" r:id="rId514" display="http://www.plants.usda.gov/java/profile?symbol=AGST"/>
    <hyperlink ref="D122" r:id="rId515" display="http://www.plants.usda.gov/java/profile?symbol=ALGR"/>
    <hyperlink ref="D129" r:id="rId516" display="http://www.plants.usda.gov/java/profile?symbol=ALSU"/>
    <hyperlink ref="D132" r:id="rId517" display="http://www.plants.usda.gov/java/profile?symbol=ALTR7"/>
    <hyperlink ref="D137" r:id="rId518" display="http://www.plants.usda.gov/java/profile?symbol=ALBU2"/>
    <hyperlink ref="D139" r:id="rId519" display="http://www.plants.usda.gov/java/profile?symbol=ALCA3"/>
    <hyperlink ref="D140" r:id="rId520" display="http://www.plants.usda.gov/java/profile?symbol=ALCAC"/>
    <hyperlink ref="D145" r:id="rId521" display="http://www.plants.usda.gov/java/profile?symbol=ALCAL"/>
    <hyperlink ref="D148" r:id="rId522" display="http://www.plants.usda.gov/java/profile?symbol=ALCAM"/>
    <hyperlink ref="D155" r:id="rId523" display="http://www.plants.usda.gov/java/profile?symbol=ALCE2"/>
    <hyperlink ref="D156" r:id="rId524" display="http://www.plants.usda.gov/java/profile?symbol=ALCEC2"/>
    <hyperlink ref="D157" r:id="rId525" display="http://www.plants.usda.gov/java/profile?symbol=ALPE2"/>
    <hyperlink ref="D158" r:id="rId526" display="http://www.plants.usda.gov/java/profile?symbol=ALPEP"/>
    <hyperlink ref="D159" r:id="rId527" display="http://www.plants.usda.gov/java/profile?symbol=ALST"/>
    <hyperlink ref="D160" r:id="rId528" display="http://www.plants.usda.gov/java/profile?symbol=ALTE"/>
    <hyperlink ref="D165" r:id="rId529" display="http://www.plants.usda.gov/java/profile?symbol=ALTR3"/>
    <hyperlink ref="D167" r:id="rId530" display="http://www.plants.usda.gov/java/profile?symbol=AMAR"/>
    <hyperlink ref="D169" r:id="rId531" display="http://www.plants.usda.gov/java/profile?symbol=AMHY"/>
    <hyperlink ref="D173" r:id="rId532" display="http://www.plants.usda.gov/java/profile?symbol=AMPO2"/>
    <hyperlink ref="D174" r:id="rId533" display="http://www.plants.usda.gov/java/profile?symbol=AMPOP"/>
    <hyperlink ref="D178" r:id="rId534" display="http://www.plants.usda.gov/java/profile?symbol=AMRE"/>
    <hyperlink ref="D180" r:id="rId535" display="http://www.plants.usda.gov/java/profile?symbol=AMSP"/>
    <hyperlink ref="D181" r:id="rId536" display="http://www.plants.usda.gov/java/profile?symbol=AMTU"/>
    <hyperlink ref="D196" r:id="rId537" display="http://www.plants.usda.gov/java/profile?symbol=AMAR2"/>
    <hyperlink ref="D197" r:id="rId538" display="http://www.plants.usda.gov/java/profile?symbol=AMARE"/>
    <hyperlink ref="D199" r:id="rId539" display="http://www.plants.usda.gov/java/profile?symbol=AMBI2"/>
    <hyperlink ref="D200" r:id="rId540" display="http://www.plants.usda.gov/java/profile?symbol=AMHE3"/>
    <hyperlink ref="D201" r:id="rId541" display="http://www.plants.usda.gov/java/profile?symbol=AMPS"/>
    <hyperlink ref="D209" r:id="rId542" display="http://www.plants.usda.gov/java/profile?symbol=AMTO3"/>
    <hyperlink ref="D214" r:id="rId543" display="http://www.plants.usda.gov/java/profile?symbol=AMTR"/>
    <hyperlink ref="D215" r:id="rId544" display="http://www.plants.usda.gov/java/profile?symbol=AMTRT2"/>
    <hyperlink ref="D217" r:id="rId545" display="http://www.plants.usda.gov/java/profile?symbol=AMCO"/>
    <hyperlink ref="D220" r:id="rId546" display="http://www.plants.usda.gov/java/profile?symbol=AMRO3"/>
    <hyperlink ref="D223" r:id="rId547" display="http://www.plants.usda.gov/java/profile?symbol=AMDR"/>
    <hyperlink ref="D227" r:id="rId548" display="http://www.plants.usda.gov/java/profile?symbol=AMBR2"/>
    <hyperlink ref="D228" r:id="rId549" display="http://www.plants.usda.gov/java/profile?symbol=AMBRB"/>
    <hyperlink ref="D230" r:id="rId550" display="http://www.plants.usda.gov/java/profile?symbol=AMBRC"/>
    <hyperlink ref="D236" r:id="rId551" display="http://www.plants.usda.gov/java/profile?symbol=ANAR"/>
    <hyperlink ref="D237" r:id="rId552" display="http://www.plants.usda.gov/java/profile?symbol=ANARF"/>
    <hyperlink ref="D241" r:id="rId553" display="http://www.plants.usda.gov/java/profile?symbol=ANMA"/>
    <hyperlink ref="D249" r:id="rId554" display="http://www.plants.usda.gov/java/profile?symbol=ANOC2"/>
    <hyperlink ref="D253" r:id="rId555" display="http://www.plants.usda.gov/java/profile?symbol=ANCA8"/>
    <hyperlink ref="D255" r:id="rId556" display="http://www.plants.usda.gov/java/profile?symbol=ANCA9"/>
    <hyperlink ref="D256" r:id="rId557" display="http://www.plants.usda.gov/java/profile?symbol=ANCY"/>
    <hyperlink ref="D257" r:id="rId558" display="http://www.plants.usda.gov/java/profile?symbol=ANQU"/>
    <hyperlink ref="D258" r:id="rId559" display="http://www.plants.usda.gov/java/profile?symbol=ANQUB2"/>
    <hyperlink ref="D261" r:id="rId560" display="http://www.plants.usda.gov/java/profile?symbol=ANVI3"/>
    <hyperlink ref="D262" r:id="rId561" display="http://www.plants.usda.gov/java/profile?symbol=ANVIV2"/>
    <hyperlink ref="D263" r:id="rId562" display="http://www.plants.usda.gov/java/profile?symbol=ANAT"/>
    <hyperlink ref="D265" r:id="rId563" display="http://www.plants.usda.gov/java/profile?symbol=ANCR2"/>
    <hyperlink ref="D271" r:id="rId564" display="http://www.plants.usda.gov/java/profile?symbol=ANHO"/>
    <hyperlink ref="D272" r:id="rId565" display="http://www.plants.usda.gov/java/profile?symbol=ANHON"/>
    <hyperlink ref="D286" r:id="rId566" display="http://www.plants.usda.gov/java/profile?symbol=ANNE"/>
    <hyperlink ref="D302" r:id="rId567" display="http://www.plants.usda.gov/java/profile?symbol=ANPA9"/>
    <hyperlink ref="D303" r:id="rId568" display="http://www.plants.usda.gov/java/profile?symbol=ANPAF"/>
    <hyperlink ref="D321" r:id="rId569" display="http://www.plants.usda.gov/java/profile?symbol=ANPAP"/>
    <hyperlink ref="D326" r:id="rId570" display="http://www.plants.usda.gov/java/profile?symbol=ANPL"/>
    <hyperlink ref="D335" r:id="rId571" display="http://www.plants.usda.gov/java/profile?symbol=APAM"/>
    <hyperlink ref="D338" r:id="rId572" display="http://www.plants.usda.gov/java/profile?symbol=APHY"/>
    <hyperlink ref="D339" r:id="rId573" display="http://www.plants.usda.gov/java/profile?symbol=APAN2"/>
    <hyperlink ref="D352" r:id="rId574" display="http://www.plants.usda.gov/java/profile?symbol=APCA"/>
    <hyperlink ref="D368" r:id="rId575" display="http://www.plants.usda.gov/java/profile?symbol=APFL"/>
    <hyperlink ref="D377" r:id="rId576" display="http://www.plants.usda.gov/java/profile?symbol=AQCA"/>
    <hyperlink ref="D387" r:id="rId577" display="http://www.plants.usda.gov/java/profile?symbol=ARCA"/>
    <hyperlink ref="D388" r:id="rId578" display="http://www.plants.usda.gov/java/profile?symbol=ARDI2"/>
    <hyperlink ref="D397" r:id="rId579" display="http://www.plants.usda.gov/java/profile?symbol=ARDR"/>
    <hyperlink ref="D409" r:id="rId580" display="http://www.plants.usda.gov/java/profile?symbol=ARGL"/>
    <hyperlink ref="D413" r:id="rId581" display="http://www.plants.usda.gov/java/profile?symbol=ARHI"/>
    <hyperlink ref="D414" r:id="rId582" display="http://www.plants.usda.gov/java/profile?symbol=ARHIP"/>
    <hyperlink ref="D420" r:id="rId583" display="http://www.plants.usda.gov/java/profile?symbol=ARLA"/>
    <hyperlink ref="D421" r:id="rId584" display="http://www.plants.usda.gov/java/profile?symbol=ARLAL"/>
    <hyperlink ref="D425" r:id="rId585" display="http://www.plants.usda.gov/java/profile?symbol=ARLY2"/>
    <hyperlink ref="D428" r:id="rId586" display="http://www.plants.usda.gov/java/profile?symbol=ARMI5"/>
    <hyperlink ref="D434" r:id="rId587" display="http://www.plants.usda.gov/java/profile?symbol=ARSH2"/>
    <hyperlink ref="D442" r:id="rId588" display="http://www.plants.usda.gov/java/profile?symbol=ARNU2"/>
    <hyperlink ref="D443" r:id="rId589" display="http://www.plants.usda.gov/java/profile?symbol=ARRA"/>
    <hyperlink ref="D444" r:id="rId590" display="http://www.plants.usda.gov/java/profile?symbol=ARRAR"/>
    <hyperlink ref="D445" r:id="rId591" display="http://www.plants.usda.gov/java/profile?symbol=ARAL3"/>
    <hyperlink ref="D446" r:id="rId592" display="http://www.plants.usda.gov/java/profile?symbol=ARALA2"/>
    <hyperlink ref="D448" r:id="rId593" display="http://www.plants.usda.gov/java/profile?symbol=ARME4"/>
    <hyperlink ref="D450" r:id="rId594" display="http://www.plants.usda.gov/java/profile?symbol=ARPO2"/>
    <hyperlink ref="D454" r:id="rId595" display="http://www.plants.usda.gov/java/profile?symbol=ARAN7"/>
    <hyperlink ref="D464" r:id="rId596" display="http://www.plants.usda.gov/java/profile?symbol=ARDR3"/>
    <hyperlink ref="D466" r:id="rId597" display="http://www.plants.usda.gov/java/profile?symbol=ARTR"/>
    <hyperlink ref="D467" r:id="rId598" display="http://www.plants.usda.gov/java/profile?symbol=ARTRP"/>
    <hyperlink ref="D470" r:id="rId599" display="http://www.plants.usda.gov/java/profile?symbol=ARTRT3"/>
    <hyperlink ref="D472" r:id="rId600" display="http://www.plants.usda.gov/java/profile?symbol=ARSE3"/>
    <hyperlink ref="D479" r:id="rId601" display="http://www.plants.usda.gov/java/profile?symbol=ARAT"/>
    <hyperlink ref="D483" r:id="rId602" display="http://www.plants.usda.gov/java/profile?symbol=ARPL4"/>
    <hyperlink ref="D489" r:id="rId603" display="http://www.plants.usda.gov/java/profile?symbol=ARRE6"/>
    <hyperlink ref="D495" r:id="rId604" display="http://www.plants.usda.gov/java/profile?symbol=ARBI2"/>
    <hyperlink ref="D496" r:id="rId605" display="http://www.plants.usda.gov/java/profile?symbol=ARCA12"/>
    <hyperlink ref="D497" r:id="rId606" display="http://www.plants.usda.gov/java/profile?symbol=ARCAC"/>
    <hyperlink ref="D504" r:id="rId607" display="http://www.plants.usda.gov/java/profile?symbol=ARDR4"/>
    <hyperlink ref="D514" r:id="rId608" display="http://www.plants.usda.gov/java/profile?symbol=ARLU"/>
    <hyperlink ref="D515" r:id="rId609" display="http://www.plants.usda.gov/java/profile?symbol=ARLUL2"/>
    <hyperlink ref="D529" r:id="rId610" display="http://www.plants.usda.gov/java/profile?symbol=ARSE4"/>
    <hyperlink ref="D530" r:id="rId611" display="http://www.plants.usda.gov/java/profile?symbol=ARVU"/>
    <hyperlink ref="D531" r:id="rId612" display="http://www.plants.usda.gov/java/profile?symbol=ARDI8"/>
    <hyperlink ref="D532" r:id="rId613" display="http://www.plants.usda.gov/java/profile?symbol=ARDIP"/>
    <hyperlink ref="D535" r:id="rId614" display="http://www.plants.usda.gov/java/profile?symbol=ASCA"/>
    <hyperlink ref="D542" r:id="rId615" display="http://www.plants.usda.gov/java/profile?symbol=ASAM"/>
    <hyperlink ref="D543" r:id="rId616" display="http://www.plants.usda.gov/java/profile?symbol=ASEN"/>
    <hyperlink ref="D546" r:id="rId617" display="http://www.plants.usda.gov/java/profile?symbol=ASEX"/>
    <hyperlink ref="D549" r:id="rId618" display="http://www.plants.usda.gov/java/profile?symbol=ASHI"/>
    <hyperlink ref="D552" r:id="rId619" display="http://www.plants.usda.gov/java/profile?symbol=ASIN"/>
    <hyperlink ref="D553" r:id="rId620" display="http://www.plants.usda.gov/java/profile?symbol=ASINI"/>
    <hyperlink ref="D554" r:id="rId621" display="http://www.plants.usda.gov/java/profile?symbol=ASLA3"/>
    <hyperlink ref="D557" r:id="rId622" display="http://www.plants.usda.gov/java/profile?symbol=ASME"/>
    <hyperlink ref="D558" r:id="rId623" display="http://www.plants.usda.gov/java/profile?symbol=ASOV"/>
    <hyperlink ref="D559" r:id="rId624" display="http://www.plants.usda.gov/java/profile?symbol=ASPU"/>
    <hyperlink ref="D560" r:id="rId625" display="http://www.plants.usda.gov/java/profile?symbol=ASPU2"/>
    <hyperlink ref="D561" r:id="rId626" display="http://www.plants.usda.gov/java/profile?symbol=ASQU"/>
    <hyperlink ref="D562" r:id="rId627" display="http://www.plants.usda.gov/java/profile?symbol=ASSP"/>
    <hyperlink ref="D564" r:id="rId628" display="http://www.plants.usda.gov/java/profile?symbol=ASST"/>
    <hyperlink ref="D567" r:id="rId629" display="http://www.plants.usda.gov/java/profile?symbol=ASSU3"/>
    <hyperlink ref="D568" r:id="rId630" display="http://www.plants.usda.gov/java/profile?symbol=ASSY"/>
    <hyperlink ref="D572" r:id="rId631" display="http://www.plants.usda.gov/java/profile?symbol=ASTU"/>
    <hyperlink ref="D573" r:id="rId632" display="http://www.plants.usda.gov/java/profile?symbol=ASTUI"/>
    <hyperlink ref="D576" r:id="rId633" display="http://www.plants.usda.gov/java/profile?symbol=ASVE"/>
    <hyperlink ref="D577" r:id="rId634" display="http://www.plants.usda.gov/java/profile?symbol=ASVI"/>
    <hyperlink ref="D583" r:id="rId635" display="http://www.plants.usda.gov/java/profile?symbol=ASPL"/>
    <hyperlink ref="D584" r:id="rId636" display="http://www.plants.usda.gov/java/profile?symbol=ASPLP"/>
    <hyperlink ref="D586" r:id="rId637" display="http://www.plants.usda.gov/java/profile?symbol=ASRH2"/>
    <hyperlink ref="D588" r:id="rId638" display="http://www.plants.usda.gov/java/profile?symbol=ASAG2"/>
    <hyperlink ref="D593" r:id="rId639" display="http://www.plants.usda.gov/java/profile?symbol=ASCA11"/>
    <hyperlink ref="D594" r:id="rId640" display="http://www.plants.usda.gov/java/profile?symbol=ASCAC6"/>
    <hyperlink ref="D599" r:id="rId641" display="http://www.plants.usda.gov/java/profile?symbol=ASCR2"/>
    <hyperlink ref="D600" r:id="rId642" display="http://www.plants.usda.gov/java/profile?symbol=ASCRC3"/>
    <hyperlink ref="D605" r:id="rId643" display="http://www.plants.usda.gov/java/profile?symbol=ASDI4"/>
    <hyperlink ref="D606" r:id="rId644" display="http://www.plants.usda.gov/java/profile?symbol=ASDID3"/>
    <hyperlink ref="D608" r:id="rId645" display="http://www.plants.usda.gov/java/profile?symbol=ASFL2"/>
    <hyperlink ref="D609" r:id="rId646" display="http://www.plants.usda.gov/java/profile?symbol=ASFLF"/>
    <hyperlink ref="D613" r:id="rId647" display="http://www.plants.usda.gov/java/profile?symbol=ASLA27"/>
    <hyperlink ref="D614" r:id="rId648" display="http://www.plants.usda.gov/java/profile?symbol=ASLAR"/>
    <hyperlink ref="D620" r:id="rId649" display="http://www.plants.usda.gov/java/profile?symbol=ASLO4"/>
    <hyperlink ref="D626" r:id="rId650" display="http://www.plants.usda.gov/java/profile?symbol=ASMI10"/>
    <hyperlink ref="D627" r:id="rId651" display="http://www.plants.usda.gov/java/profile?symbol=ASMIM5"/>
    <hyperlink ref="D629" r:id="rId652" display="http://www.plants.usda.gov/java/profile?symbol=ATFI"/>
    <hyperlink ref="D630" r:id="rId653" display="http://www.plants.usda.gov/java/profile?symbol=ATFIA"/>
    <hyperlink ref="D637" r:id="rId654" display="http://www.plants.usda.gov/java/profile?symbol=ATPR"/>
    <hyperlink ref="D645" r:id="rId655" display="http://www.plants.usda.gov/java/profile?symbol=AUGR"/>
    <hyperlink ref="D646" r:id="rId656" display="http://www.plants.usda.gov/java/profile?symbol=AUGRP"/>
    <hyperlink ref="D649" r:id="rId657" display="http://www.plants.usda.gov/java/profile?symbol=AUPE2"/>
    <hyperlink ref="D650" r:id="rId658" display="http://www.plants.usda.gov/java/profile?symbol=AUPEA"/>
    <hyperlink ref="D654" r:id="rId659" display="http://www.plants.usda.gov/java/profile?symbol=AZME"/>
    <hyperlink ref="D655" r:id="rId660" display="http://www.plants.usda.gov/java/profile?symbol=BARO"/>
    <hyperlink ref="D661" r:id="rId661" display="http://www.plants.usda.gov/java/profile?symbol=BAAL"/>
    <hyperlink ref="D662" r:id="rId662" display="http://www.plants.usda.gov/java/profile?symbol=BAALM"/>
    <hyperlink ref="D668" r:id="rId663" display="http://www.plants.usda.gov/java/profile?symbol=BAAU"/>
    <hyperlink ref="D669" r:id="rId664" display="http://www.plants.usda.gov/java/profile?symbol=BAAUM"/>
    <hyperlink ref="D673" r:id="rId665" display="http://www.plants.usda.gov/java/profile?symbol=BABR2"/>
    <hyperlink ref="D674" r:id="rId666" display="http://www.plants.usda.gov/java/profile?symbol=BABRL2"/>
    <hyperlink ref="D678" r:id="rId667" display="http://www.plants.usda.gov/java/profile?symbol=BATI"/>
    <hyperlink ref="D682" r:id="rId668" display="http://www.plants.usda.gov/java/profile?symbol=BEER"/>
    <hyperlink ref="D687" r:id="rId669" display="http://www.plants.usda.gov/java/profile?symbol=BEBU"/>
    <hyperlink ref="D690" r:id="rId670" display="http://www.plants.usda.gov/java/profile?symbol=BIAR"/>
    <hyperlink ref="D697" r:id="rId671" display="http://www.plants.usda.gov/java/profile?symbol=BIBE2"/>
    <hyperlink ref="D702" r:id="rId672" display="http://www.plants.usda.gov/java/profile?symbol=BIBI7"/>
    <hyperlink ref="D704" r:id="rId673" display="http://www.plants.usda.gov/java/profile?symbol=BICE"/>
    <hyperlink ref="D713" r:id="rId674" display="http://www.plants.usda.gov/java/profile?symbol=BICO5"/>
    <hyperlink ref="D722" r:id="rId675" display="http://www.plants.usda.gov/java/profile?symbol=BICO"/>
    <hyperlink ref="D727" r:id="rId676" display="http://www.plants.usda.gov/java/profile?symbol=BIDI"/>
    <hyperlink ref="D728" r:id="rId677" display="http://www.plants.usda.gov/java/profile?symbol=BIFR"/>
    <hyperlink ref="D733" r:id="rId678" display="http://www.plants.usda.gov/java/profile?symbol=BITR"/>
    <hyperlink ref="D736" r:id="rId679" display="http://www.plants.usda.gov/java/profile?symbol=BIVU"/>
    <hyperlink ref="D741" r:id="rId680" display="http://www.plants.usda.gov/java/profile?symbol=BLCI"/>
    <hyperlink ref="D742" r:id="rId681" display="http://www.plants.usda.gov/java/profile?symbol=BLHI"/>
    <hyperlink ref="D743" r:id="rId682" display="http://www.plants.usda.gov/java/profile?symbol=BLHIH"/>
    <hyperlink ref="D744" r:id="rId683" display="http://www.plants.usda.gov/java/profile?symbol=BOCY"/>
    <hyperlink ref="D752" r:id="rId684" display="http://www.plants.usda.gov/java/profile?symbol=BOAS"/>
    <hyperlink ref="D753" r:id="rId685" display="http://www.plants.usda.gov/java/profile?symbol=BOASL"/>
    <hyperlink ref="D755" r:id="rId686" display="http://www.plants.usda.gov/java/profile?symbol=BOASR"/>
    <hyperlink ref="D760" r:id="rId687" display="http://www.plants.usda.gov/java/profile?symbol=BODE2"/>
    <hyperlink ref="D763" r:id="rId688" display="http://www.plants.usda.gov/java/profile?symbol=BOCA5"/>
    <hyperlink ref="D764" r:id="rId689" display="http://www.plants.usda.gov/java/profile?symbol=BODI2"/>
    <hyperlink ref="D769" r:id="rId690" display="http://www.plants.usda.gov/java/profile?symbol=BOMA2"/>
    <hyperlink ref="D770" r:id="rId691" display="http://www.plants.usda.gov/java/profile?symbol=BOMU"/>
    <hyperlink ref="D783" r:id="rId692" display="http://www.plants.usda.gov/java/profile?symbol=BOSI"/>
    <hyperlink ref="D790" r:id="rId693" display="http://www.plants.usda.gov/java/profile?symbol=BOVI"/>
    <hyperlink ref="D793" r:id="rId694" display="http://www.plants.usda.gov/java/profile?symbol=BRSC"/>
    <hyperlink ref="D795" r:id="rId695" display="http://www.plants.usda.gov/java/profile?symbol=BREU"/>
    <hyperlink ref="D796" r:id="rId696" display="http://www.plants.usda.gov/java/profile?symbol=BREUC"/>
    <hyperlink ref="D799" r:id="rId697" display="http://www.plants.usda.gov/java/profile?symbol=CAPA"/>
    <hyperlink ref="D800" r:id="rId698" display="http://www.plants.usda.gov/java/profile?symbol=CAAL"/>
    <hyperlink ref="D802" r:id="rId699" display="http://www.plants.usda.gov/java/profile?symbol=CABU8"/>
    <hyperlink ref="D805" r:id="rId700" display="http://www.plants.usda.gov/java/profile?symbol=CAIN2"/>
    <hyperlink ref="D806" r:id="rId701" display="http://www.plants.usda.gov/java/profile?symbol=CAINI4"/>
    <hyperlink ref="D808" r:id="rId702" display="http://www.plants.usda.gov/java/profile?symbol=CATR"/>
    <hyperlink ref="D809" r:id="rId703" display="http://www.plants.usda.gov/java/profile?symbol=CAHE3"/>
    <hyperlink ref="D810" r:id="rId704" display="http://www.plants.usda.gov/java/profile?symbol=CAHEH"/>
    <hyperlink ref="D813" r:id="rId705" display="http://www.plants.usda.gov/java/profile?symbol=CAPA52"/>
    <hyperlink ref="D816" r:id="rId706" display="http://www.plants.usda.gov/java/profile?symbol=CATU5"/>
    <hyperlink ref="D817" r:id="rId707" display="http://www.plants.usda.gov/java/profile?symbol=CATUT"/>
    <hyperlink ref="D822" r:id="rId708" display="http://www.plants.usda.gov/java/profile?symbol=CAPA5"/>
    <hyperlink ref="D823" r:id="rId709" display="http://www.plants.usda.gov/java/profile?symbol=CAPAP6"/>
    <hyperlink ref="D829" r:id="rId710" display="http://www.plants.usda.gov/java/profile?symbol=CASE12"/>
    <hyperlink ref="D836" r:id="rId711" display="http://www.plants.usda.gov/java/profile?symbol=CAMA23"/>
    <hyperlink ref="D838" r:id="rId712" display="http://www.plants.usda.gov/java/profile?symbol=CASE13"/>
    <hyperlink ref="D839" r:id="rId713" display="http://www.plants.usda.gov/java/profile?symbol=CASEA2"/>
    <hyperlink ref="D844" r:id="rId714" display="http://www.plants.usda.gov/java/profile?symbol=CASEA3"/>
    <hyperlink ref="D849" r:id="rId715" display="http://www.plants.usda.gov/java/profile?symbol=CASI10"/>
    <hyperlink ref="D850" r:id="rId716" display="http://www.plants.usda.gov/java/profile?symbol=CASIF"/>
    <hyperlink ref="D855" r:id="rId717" display="http://www.plants.usda.gov/java/profile?symbol=CASP14"/>
    <hyperlink ref="D856" r:id="rId718" display="http://www.plants.usda.gov/java/profile?symbol=CASPS2"/>
    <hyperlink ref="D858" r:id="rId719" display="http://www.plants.usda.gov/java/profile?symbol=CASPS"/>
    <hyperlink ref="D859" r:id="rId720" display="http://www.plants.usda.gov/java/profile?symbol=CAAN2"/>
    <hyperlink ref="D860" r:id="rId721" display="http://www.plants.usda.gov/java/profile?symbol=CASC5"/>
    <hyperlink ref="D863" r:id="rId722" display="http://www.plants.usda.gov/java/profile?symbol=CAAP2"/>
    <hyperlink ref="D867" r:id="rId723" display="http://www.plants.usda.gov/java/profile?symbol=CARO2"/>
    <hyperlink ref="D887" r:id="rId724" display="http://www.plants.usda.gov/java/profile?symbol=CAAM18"/>
    <hyperlink ref="D890" r:id="rId725" display="http://www.plants.usda.gov/java/profile?symbol=CABU3"/>
    <hyperlink ref="D894" r:id="rId726" display="http://www.plants.usda.gov/java/profile?symbol=CACO26"/>
    <hyperlink ref="D900" r:id="rId727" display="http://www.plants.usda.gov/java/profile?symbol=CADO"/>
    <hyperlink ref="D901" r:id="rId728" display="http://www.plants.usda.gov/java/profile?symbol=CAPA12"/>
    <hyperlink ref="D902" r:id="rId729" display="http://www.plants.usda.gov/java/profile?symbol=CAPAA2"/>
    <hyperlink ref="D904" r:id="rId730" display="http://www.plants.usda.gov/java/profile?symbol=CAPE3"/>
    <hyperlink ref="D906" r:id="rId731" display="http://www.plants.usda.gov/java/profile?symbol=CACO17"/>
    <hyperlink ref="D908" r:id="rId732" display="http://www.plants.usda.gov/java/profile?symbol=CASE5"/>
    <hyperlink ref="D909" r:id="rId733" display="http://www.plants.usda.gov/java/profile?symbol=CATH2"/>
    <hyperlink ref="D910" r:id="rId734" display="http://www.plants.usda.gov/java/profile?symbol=CEAM2"/>
    <hyperlink ref="D911" r:id="rId735" display="http://www.plants.usda.gov/java/profile?symbol=CEAR4"/>
    <hyperlink ref="D912" r:id="rId736" display="http://www.plants.usda.gov/java/profile?symbol=CEARS2"/>
    <hyperlink ref="D935" r:id="rId737" display="http://www.plants.usda.gov/java/profile?symbol=CEARV2"/>
    <hyperlink ref="D936" r:id="rId738" display="http://www.plants.usda.gov/java/profile?symbol=CEARV3"/>
    <hyperlink ref="D943" r:id="rId739" display="http://www.plants.usda.gov/java/profile?symbol=CEBR3"/>
    <hyperlink ref="D946" r:id="rId740" display="http://www.plants.usda.gov/java/profile?symbol=CENU2"/>
    <hyperlink ref="D947" r:id="rId741" display="http://www.plants.usda.gov/java/profile?symbol=CENUN"/>
    <hyperlink ref="D950" r:id="rId742" display="http://www.plants.usda.gov/java/profile?symbol=CEDE4"/>
    <hyperlink ref="D954" r:id="rId743" display="http://www.plants.usda.gov/java/profile?symbol=CHPR"/>
    <hyperlink ref="D955" r:id="rId744" display="http://www.plants.usda.gov/java/profile?symbol=CHPRP"/>
    <hyperlink ref="D956" r:id="rId745" display="http://www.plants.usda.gov/java/profile?symbol=CHFA2"/>
    <hyperlink ref="D957" r:id="rId746" display="http://www.plants.usda.gov/java/profile?symbol=CHFAF"/>
    <hyperlink ref="D979" r:id="rId747" display="http://www.plants.usda.gov/java/profile?symbol=CHGE2"/>
    <hyperlink ref="D980" r:id="rId748" display="http://www.plants.usda.gov/java/profile?symbol=CHGEG"/>
    <hyperlink ref="D982" r:id="rId749" display="http://www.plants.usda.gov/java/profile?symbol=CHGL13"/>
    <hyperlink ref="D984" r:id="rId750" display="http://www.plants.usda.gov/java/profile?symbol=CHMA15"/>
    <hyperlink ref="D990" r:id="rId751" display="http://www.plants.usda.gov/java/profile?symbol=CHMI8"/>
    <hyperlink ref="D1001" r:id="rId752" display="http://www.plants.usda.gov/java/profile?symbol=CHNU9"/>
    <hyperlink ref="D1007" r:id="rId753" display="http://www.plants.usda.gov/java/profile?symbol=CHPR6"/>
    <hyperlink ref="D1010" r:id="rId754" display="http://www.plants.usda.gov/java/profile?symbol=CHSE4"/>
    <hyperlink ref="D1012" r:id="rId755" display="http://www.plants.usda.gov/java/profile?symbol=CHSE6"/>
    <hyperlink ref="D1013" r:id="rId756" display="http://www.plants.usda.gov/java/profile?symbol=CHSES"/>
    <hyperlink ref="D1018" r:id="rId757" display="http://www.plants.usda.gov/java/profile?symbol=CHST8"/>
    <hyperlink ref="D1020" r:id="rId758" display="http://www.plants.usda.gov/java/profile?symbol=CHAN9"/>
    <hyperlink ref="D1021" r:id="rId759" display="http://www.plants.usda.gov/java/profile?symbol=CHANC"/>
    <hyperlink ref="D1032" r:id="rId760" display="http://www.plants.usda.gov/java/profile?symbol=CHFE"/>
    <hyperlink ref="D1033" r:id="rId761" display="http://www.plants.usda.gov/java/profile?symbol=CHGL2"/>
    <hyperlink ref="D1043" r:id="rId762" display="http://www.plants.usda.gov/java/profile?symbol=CHOB3"/>
    <hyperlink ref="D1044" r:id="rId763" display="http://www.plants.usda.gov/java/profile?symbol=CHOBS"/>
    <hyperlink ref="D1045" r:id="rId764" display="http://www.plants.usda.gov/java/profile?symbol=CHAL7"/>
    <hyperlink ref="D1046" r:id="rId765" display="http://www.plants.usda.gov/java/profile?symbol=CHALM2"/>
    <hyperlink ref="D1050" r:id="rId766" display="http://www.plants.usda.gov/java/profile?symbol=CHALS2"/>
    <hyperlink ref="D1055" r:id="rId767" display="http://www.plants.usda.gov/java/profile?symbol=CHBE4"/>
    <hyperlink ref="D1056" r:id="rId768" display="http://www.plants.usda.gov/java/profile?symbol=CHBEB2"/>
    <hyperlink ref="D1058" r:id="rId769" display="http://www.plants.usda.gov/java/profile?symbol=CHBEB3"/>
    <hyperlink ref="D1062" r:id="rId770" display="http://www.plants.usda.gov/java/profile?symbol=CHBEZ"/>
    <hyperlink ref="D1067" r:id="rId771" display="http://www.plants.usda.gov/java/profile?symbol=CHCA4"/>
    <hyperlink ref="D1069" r:id="rId772" display="http://www.plants.usda.gov/java/profile?symbol=CHFO3"/>
    <hyperlink ref="D1070" r:id="rId773" display="http://www.plants.usda.gov/java/profile?symbol=CHGL3"/>
    <hyperlink ref="D1072" r:id="rId774" display="http://www.plants.usda.gov/java/profile?symbol=CHPR5"/>
    <hyperlink ref="D1077" r:id="rId775" display="http://www.plants.usda.gov/java/profile?symbol=CHRU"/>
    <hyperlink ref="D1078" r:id="rId776" display="http://www.plants.usda.gov/java/profile?symbol=CHSA2"/>
    <hyperlink ref="D1082" r:id="rId777" display="http://www.plants.usda.gov/java/profile?symbol=CHSI2"/>
    <hyperlink ref="D1088" r:id="rId778" display="http://www.plants.usda.gov/java/profile?symbol=CHST2"/>
    <hyperlink ref="D1091" r:id="rId779" display="http://www.plants.usda.gov/java/profile?symbol=CHAL24"/>
    <hyperlink ref="D1092" r:id="rId780" display="http://www.plants.usda.gov/java/profile?symbol=CHALS3"/>
    <hyperlink ref="D1096" r:id="rId781" display="http://www.plants.usda.gov/java/profile?symbol=CHAM2"/>
    <hyperlink ref="D1097" r:id="rId782" display="http://www.plants.usda.gov/java/profile?symbol=CIBU"/>
    <hyperlink ref="D1098" r:id="rId783" display="http://www.plants.usda.gov/java/profile?symbol=CIMA2"/>
    <hyperlink ref="D1099" r:id="rId784" display="http://www.plants.usda.gov/java/profile?symbol=CIMAA"/>
    <hyperlink ref="D1101" r:id="rId785" display="http://www.plants.usda.gov/java/profile?symbol=CIMAB"/>
    <hyperlink ref="D1103" r:id="rId786" display="http://www.plants.usda.gov/java/profile?symbol=CIMAM"/>
    <hyperlink ref="D1107" r:id="rId787" display="http://www.plants.usda.gov/java/profile?symbol=CIAL"/>
    <hyperlink ref="D1108" r:id="rId788" display="http://www.plants.usda.gov/java/profile?symbol=CIALA"/>
    <hyperlink ref="D1109" r:id="rId789" display="http://www.plants.usda.gov/java/profile?symbol=CIIN4"/>
    <hyperlink ref="D1111" r:id="rId790" display="http://www.plants.usda.gov/java/profile?symbol=CILU"/>
    <hyperlink ref="D1112" r:id="rId791" display="http://www.plants.usda.gov/java/profile?symbol=CILUC"/>
    <hyperlink ref="D1118" r:id="rId792" display="http://www.plants.usda.gov/java/profile?symbol=CIAL2"/>
    <hyperlink ref="D1121" r:id="rId793" display="http://www.plants.usda.gov/java/profile?symbol=CICA11"/>
    <hyperlink ref="D1126" r:id="rId794" display="http://www.plants.usda.gov/java/profile?symbol=CIDI"/>
    <hyperlink ref="D1128" r:id="rId795" display="http://www.plants.usda.gov/java/profile?symbol=CIFL"/>
    <hyperlink ref="D1131" r:id="rId796" display="http://www.plants.usda.gov/java/profile?symbol=CIHI"/>
    <hyperlink ref="D1134" r:id="rId797" display="http://www.plants.usda.gov/java/profile?symbol=CIIO2"/>
    <hyperlink ref="D1135" r:id="rId798" display="http://www.plants.usda.gov/java/profile?symbol=CIMU"/>
    <hyperlink ref="D1140" r:id="rId799" display="http://www.plants.usda.gov/java/profile?symbol=CIUN"/>
    <hyperlink ref="D1141" r:id="rId800" display="http://www.plants.usda.gov/java/profile?symbol=CIUNU"/>
    <hyperlink ref="D1149" r:id="rId801" display="http://www.plants.usda.gov/java/profile?symbol=CLVI3"/>
    <hyperlink ref="D1150" r:id="rId802" display="http://www.plants.usda.gov/java/profile?symbol=CLVIV"/>
    <hyperlink ref="D1153" r:id="rId803" display="http://www.plants.usda.gov/java/profile?symbol=CLHA"/>
    <hyperlink ref="D1159" r:id="rId804" display="http://www.plants.usda.gov/java/profile?symbol=CLSE"/>
    <hyperlink ref="D1161" r:id="rId805" display="http://www.plants.usda.gov/java/profile?symbol=CLVU"/>
    <hyperlink ref="D1167" r:id="rId806" display="http://www.plants.usda.gov/java/profile?symbol=CLMA4"/>
    <hyperlink ref="D1169" r:id="rId807" display="http://www.plants.usda.gov/java/profile?symbol=COVE2"/>
    <hyperlink ref="D1170" r:id="rId808" display="http://www.plants.usda.gov/java/profile?symbol=COLI2"/>
    <hyperlink ref="D1171" r:id="rId809" display="http://www.plants.usda.gov/java/profile?symbol=COUM"/>
    <hyperlink ref="D1172" r:id="rId810" display="http://www.plants.usda.gov/java/profile?symbol=COUMU"/>
    <hyperlink ref="D1174" r:id="rId811" display="http://www.plants.usda.gov/java/profile?symbol=COPA28"/>
    <hyperlink ref="D1178" r:id="rId812" display="http://www.plants.usda.gov/java/profile?symbol=COER"/>
    <hyperlink ref="D1179" r:id="rId813" display="http://www.plants.usda.gov/java/profile?symbol=COERA"/>
    <hyperlink ref="D1184" r:id="rId814" display="http://www.plants.usda.gov/java/profile?symbol=COERD"/>
    <hyperlink ref="D1186" r:id="rId815" display="http://www.plants.usda.gov/java/profile?symbol=COCH2"/>
    <hyperlink ref="D1188" r:id="rId816" display="http://www.plants.usda.gov/java/profile?symbol=COAM"/>
    <hyperlink ref="D1190" r:id="rId817" display="http://www.plants.usda.gov/java/profile?symbol=COCA5"/>
    <hyperlink ref="D1191" r:id="rId818" display="http://www.plants.usda.gov/java/profile?symbol=COCAC3"/>
    <hyperlink ref="D1194" r:id="rId819" display="http://www.plants.usda.gov/java/profile?symbol=CORA4"/>
    <hyperlink ref="D1197" r:id="rId820" display="http://www.plants.usda.gov/java/profile?symbol=COMA25"/>
    <hyperlink ref="D1199" r:id="rId821" display="http://www.plants.usda.gov/java/profile?symbol=COMAM7"/>
    <hyperlink ref="D1205" r:id="rId822" display="http://www.plants.usda.gov/java/profile?symbol=COOD7"/>
    <hyperlink ref="D1207" r:id="rId823" display="http://www.plants.usda.gov/java/profile?symbol=COODO2"/>
    <hyperlink ref="D1211" r:id="rId824" display="http://www.plants.usda.gov/java/profile?symbol=COODP2"/>
    <hyperlink ref="D1213" r:id="rId825" display="http://www.plants.usda.gov/java/profile?symbol=COGR5"/>
    <hyperlink ref="D1214" r:id="rId826" display="http://www.plants.usda.gov/java/profile?symbol=COGRH"/>
    <hyperlink ref="D1216" r:id="rId827" display="http://www.plants.usda.gov/java/profile?symbol=COLA5"/>
    <hyperlink ref="D1220" r:id="rId828" display="http://www.plants.usda.gov/java/profile?symbol=COPA10"/>
    <hyperlink ref="D1221" r:id="rId829" display="http://www.plants.usda.gov/java/profile?symbol=COTI3"/>
    <hyperlink ref="D1222" r:id="rId830" display="http://www.plants.usda.gov/java/profile?symbol=COTIT"/>
    <hyperlink ref="D1226" r:id="rId831" display="http://www.plants.usda.gov/java/profile?symbol=COTR4"/>
    <hyperlink ref="D1231" r:id="rId832" display="http://www.plants.usda.gov/java/profile?symbol=COAM8"/>
    <hyperlink ref="D1232" r:id="rId833" display="http://www.plants.usda.gov/java/profile?symbol=COAMA2"/>
    <hyperlink ref="D1236" r:id="rId834" display="http://www.plants.usda.gov/java/profile?symbol=COCA13"/>
    <hyperlink ref="D1240" r:id="rId835" display="http://www.plants.usda.gov/java/profile?symbol=COAU2"/>
    <hyperlink ref="D1243" r:id="rId836" display="http://www.plants.usda.gov/java/profile?symbol=COCU2"/>
    <hyperlink ref="D1244" r:id="rId837" display="http://www.plants.usda.gov/java/profile?symbol=COCUG2"/>
    <hyperlink ref="D1246" r:id="rId838" display="http://www.plants.usda.gov/java/profile?symbol=COCUO"/>
    <hyperlink ref="D1251" r:id="rId839" display="http://www.plants.usda.gov/java/profile?symbol=COFL3"/>
    <hyperlink ref="D1254" r:id="rId840" display="http://www.plants.usda.gov/java/profile?symbol=COMI2"/>
    <hyperlink ref="D1255" r:id="rId841" display="http://www.plants.usda.gov/java/profile?symbol=COMIM2"/>
    <hyperlink ref="D1258" r:id="rId842" display="http://www.plants.usda.gov/java/profile?symbol=COSE5"/>
    <hyperlink ref="D1260" r:id="rId843" display="http://www.plants.usda.gov/java/profile?symbol=CRRU3"/>
    <hyperlink ref="D1261" r:id="rId844" display="http://www.plants.usda.gov/java/profile?symbol=CRRUR"/>
    <hyperlink ref="D1268" r:id="rId845" display="http://www.plants.usda.gov/java/profile?symbol=CRSA4"/>
    <hyperlink ref="D1273" r:id="rId846" display="http://www.plants.usda.gov/java/profile?symbol=CRCA6"/>
    <hyperlink ref="D1274" r:id="rId847" display="http://www.plants.usda.gov/java/profile?symbol=CRCAC2"/>
    <hyperlink ref="D1275" r:id="rId848" display="http://www.plants.usda.gov/java/profile?symbol=CRGL2"/>
    <hyperlink ref="D1276" r:id="rId849" display="http://www.plants.usda.gov/java/profile?symbol=CRGLS"/>
    <hyperlink ref="D1277" r:id="rId850" display="http://www.plants.usda.gov/java/profile?symbol=CRMI8"/>
    <hyperlink ref="D1279" r:id="rId851" display="http://www.plants.usda.gov/java/profile?symbol=CRMO6"/>
    <hyperlink ref="D1280" r:id="rId852" display="http://www.plants.usda.gov/java/profile?symbol=CRTE4"/>
    <hyperlink ref="D1281" r:id="rId853" display="http://www.plants.usda.gov/java/profile?symbol=CRTET"/>
    <hyperlink ref="D1282" r:id="rId854" display="http://www.plants.usda.gov/java/profile?symbol=CRWI5"/>
    <hyperlink ref="D1284" r:id="rId855" display="http://www.plants.usda.gov/java/profile?symbol=CRST2"/>
    <hyperlink ref="D1285" r:id="rId856" display="http://www.plants.usda.gov/java/profile?symbol=CRCA9"/>
    <hyperlink ref="D1287" r:id="rId857" display="http://www.plants.usda.gov/java/profile?symbol=CUFO"/>
    <hyperlink ref="D1289" r:id="rId858" display="http://www.plants.usda.gov/java/profile?symbol=CUVI"/>
    <hyperlink ref="D1292" r:id="rId859" display="http://www.plants.usda.gov/java/profile?symbol=CUCE"/>
    <hyperlink ref="D1294" r:id="rId860" display="http://www.plants.usda.gov/java/profile?symbol=CUCO2"/>
    <hyperlink ref="D1295" r:id="rId861" display="http://www.plants.usda.gov/java/profile?symbol=CUCOC"/>
    <hyperlink ref="D1296" r:id="rId862" display="http://www.plants.usda.gov/java/profile?symbol=CUCO3"/>
    <hyperlink ref="D1298" r:id="rId863" display="http://www.plants.usda.gov/java/profile?symbol=CUCU2"/>
    <hyperlink ref="D1300" r:id="rId864" display="http://www.plants.usda.gov/java/profile?symbol=CUGL3"/>
    <hyperlink ref="D1301" r:id="rId865" display="http://www.plants.usda.gov/java/profile?symbol=CUGR"/>
    <hyperlink ref="D1302" r:id="rId866" display="http://www.plants.usda.gov/java/profile?symbol=CUGRG"/>
    <hyperlink ref="D1308" r:id="rId867" display="http://www.plants.usda.gov/java/profile?symbol=CUIN"/>
    <hyperlink ref="D1309" r:id="rId868" display="http://www.plants.usda.gov/java/profile?symbol=CUINN"/>
    <hyperlink ref="D1311" r:id="rId869" display="http://www.plants.usda.gov/java/profile?symbol=CUPE3"/>
    <hyperlink ref="D1312" r:id="rId870" display="http://www.plants.usda.gov/java/profile?symbol=CUPEP2"/>
    <hyperlink ref="D1318" r:id="rId871" display="http://www.plants.usda.gov/java/profile?symbol=CUPO"/>
    <hyperlink ref="D1319" r:id="rId872" display="http://www.plants.usda.gov/java/profile?symbol=CYXA"/>
    <hyperlink ref="D1321" r:id="rId873" display="http://www.plants.usda.gov/java/profile?symbol=CYAT"/>
    <hyperlink ref="D1323" r:id="rId874" display="http://www.plants.usda.gov/java/profile?symbol=CYLA"/>
    <hyperlink ref="D1327" r:id="rId875" display="http://www.plants.usda.gov/java/profile?symbol=CYVI"/>
    <hyperlink ref="D1328" r:id="rId876" display="http://www.plants.usda.gov/java/profile?symbol=CYVIB"/>
    <hyperlink ref="D1330" r:id="rId877" display="http://www.plants.usda.gov/java/profile?symbol=CYAN2"/>
    <hyperlink ref="D1331" r:id="rId878" display="http://www.plants.usda.gov/java/profile?symbol=CYANA"/>
    <hyperlink ref="D1332" r:id="rId879" display="http://www.plants.usda.gov/java/profile?symbol=CYANF"/>
    <hyperlink ref="D1334" r:id="rId880" display="http://www.plants.usda.gov/java/profile?symbol=CYCA5"/>
    <hyperlink ref="D1335" r:id="rId881" display="http://www.plants.usda.gov/java/profile?symbol=CYPA19"/>
    <hyperlink ref="D1336" r:id="rId882" display="http://www.plants.usda.gov/java/profile?symbol=CYPAM3"/>
    <hyperlink ref="D1338" r:id="rId883" display="http://www.plants.usda.gov/java/profile?symbol=CYPAP3"/>
    <hyperlink ref="D1345" r:id="rId884" display="http://www.plants.usda.gov/java/profile?symbol=CYRE6"/>
    <hyperlink ref="D1346" r:id="rId885" display="http://www.plants.usda.gov/java/profile?symbol=CYBU3"/>
    <hyperlink ref="D1348" r:id="rId886" display="http://www.plants.usda.gov/java/profile?symbol=CYFR2"/>
    <hyperlink ref="D1354" r:id="rId887" display="http://www.plants.usda.gov/java/profile?symbol=CYLA4"/>
    <hyperlink ref="D1357" r:id="rId888" display="http://www.plants.usda.gov/java/profile?symbol=CYPR4"/>
    <hyperlink ref="D1359" r:id="rId889" display="http://www.plants.usda.gov/java/profile?symbol=CYTE3"/>
    <hyperlink ref="D1362" r:id="rId890" display="http://www.plants.usda.gov/java/profile?symbol=CYTE7"/>
    <hyperlink ref="D1364" r:id="rId891" display="http://www.plants.usda.gov/java/profile?symbol=DAVI6"/>
    <hyperlink ref="D1375" r:id="rId892" display="http://www.plants.usda.gov/java/profile?symbol=DACA7"/>
    <hyperlink ref="D1376" r:id="rId893" display="http://www.plants.usda.gov/java/profile?symbol=DACAC"/>
    <hyperlink ref="D1378" r:id="rId894" display="http://www.plants.usda.gov/java/profile?symbol=DACAO"/>
    <hyperlink ref="D1384" r:id="rId895" display="http://www.plants.usda.gov/java/profile?symbol=DAEN"/>
    <hyperlink ref="D1389" r:id="rId896" display="http://www.plants.usda.gov/java/profile?symbol=DALE3"/>
    <hyperlink ref="D1393" r:id="rId897" display="http://www.plants.usda.gov/java/profile?symbol=DAPU5"/>
    <hyperlink ref="D1394" r:id="rId898" display="http://www.plants.usda.gov/java/profile?symbol=DAPUP"/>
    <hyperlink ref="D1398" r:id="rId899" display="http://www.plants.usda.gov/java/profile?symbol=DAVI"/>
    <hyperlink ref="D1399" r:id="rId900" display="http://www.plants.usda.gov/java/profile?symbol=DAVIV"/>
    <hyperlink ref="D1401" r:id="rId901" display="http://www.plants.usda.gov/java/profile?symbol=DAMA"/>
    <hyperlink ref="D1404" r:id="rId902" display="http://www.plants.usda.gov/java/profile?symbol=DAWR2"/>
    <hyperlink ref="D1408" r:id="rId903" display="http://www.plants.usda.gov/java/profile?symbol=DECA3"/>
    <hyperlink ref="D1409" r:id="rId904" display="http://www.plants.usda.gov/java/profile?symbol=DECAC3"/>
    <hyperlink ref="D1414" r:id="rId905" display="http://www.plants.usda.gov/java/profile?symbol=DECAV2"/>
    <hyperlink ref="D1422" r:id="rId906" display="http://www.plants.usda.gov/java/profile?symbol=DETR"/>
    <hyperlink ref="D1423" r:id="rId907" display="http://www.plants.usda.gov/java/profile?symbol=DEAC4"/>
    <hyperlink ref="D1426" r:id="rId908" display="http://www.plants.usda.gov/java/profile?symbol=DEPI"/>
    <hyperlink ref="D1427" r:id="rId909" display="http://www.plants.usda.gov/java/profile?symbol=DEPIB"/>
    <hyperlink ref="D1432" r:id="rId910" display="http://www.plants.usda.gov/java/profile?symbol=DEIL"/>
    <hyperlink ref="D1435" r:id="rId911" display="http://www.plants.usda.gov/java/profile?symbol=DECA7"/>
    <hyperlink ref="D1437" r:id="rId912" display="http://www.plants.usda.gov/java/profile?symbol=DECA8"/>
    <hyperlink ref="D1441" r:id="rId913" display="http://www.plants.usda.gov/java/profile?symbol=DECU"/>
    <hyperlink ref="D1442" r:id="rId914" display="http://www.plants.usda.gov/java/profile?symbol=DECUC"/>
    <hyperlink ref="D1448" r:id="rId915" display="http://www.plants.usda.gov/java/profile?symbol=DECUL"/>
    <hyperlink ref="D1452" r:id="rId916" display="http://www.plants.usda.gov/java/profile?symbol=DEGL4"/>
    <hyperlink ref="D1455" r:id="rId917" display="http://www.plants.usda.gov/java/profile?symbol=DEGL5"/>
    <hyperlink ref="D1459" r:id="rId918" display="http://www.plants.usda.gov/java/profile?symbol=DEIL2"/>
    <hyperlink ref="D1461" r:id="rId919" display="http://www.plants.usda.gov/java/profile?symbol=DENU4"/>
    <hyperlink ref="D1463" r:id="rId920" display="http://www.plants.usda.gov/java/profile?symbol=DEPA6"/>
    <hyperlink ref="D1464" r:id="rId921" display="http://www.plants.usda.gov/java/profile?symbol=DEPAP2"/>
    <hyperlink ref="D1471" r:id="rId922" display="http://www.plants.usda.gov/java/profile?symbol=DEPE80"/>
    <hyperlink ref="D1475" r:id="rId923" display="http://www.plants.usda.gov/java/profile?symbol=DESE"/>
    <hyperlink ref="D1477" r:id="rId924" display="http://www.plants.usda.gov/java/profile?symbol=DICA"/>
    <hyperlink ref="D1479" r:id="rId925" display="http://www.plants.usda.gov/java/profile?symbol=DICU"/>
    <hyperlink ref="D1483" r:id="rId926" display="http://www.plants.usda.gov/java/profile?symbol=DIDI"/>
    <hyperlink ref="D1485" r:id="rId927" display="http://www.plants.usda.gov/java/profile?symbol=DITE2"/>
    <hyperlink ref="D1486" r:id="rId928" display="http://www.plants.usda.gov/java/profile?symbol=DITET"/>
    <hyperlink ref="D1489" r:id="rId929" display="http://www.plants.usda.gov/java/profile?symbol=DIQU"/>
    <hyperlink ref="D1493" r:id="rId930" display="http://www.plants.usda.gov/java/profile?symbol=DIVI4"/>
    <hyperlink ref="D1496" r:id="rId931" display="http://www.plants.usda.gov/java/profile?symbol=DIPY"/>
    <hyperlink ref="D1499" r:id="rId932" display="http://www.plants.usda.gov/java/profile?symbol=DOAM"/>
    <hyperlink ref="D1500" r:id="rId933" display="http://www.plants.usda.gov/java/profile?symbol=DOME"/>
    <hyperlink ref="D1501" r:id="rId934" display="http://www.plants.usda.gov/java/profile?symbol=DOMEB2"/>
    <hyperlink ref="D1504" r:id="rId935" display="http://www.plants.usda.gov/java/profile?symbol=DOMEM3"/>
    <hyperlink ref="D1508" r:id="rId936" display="http://www.plants.usda.gov/java/profile?symbol=DOUM2"/>
    <hyperlink ref="D1509" r:id="rId937" display="http://www.plants.usda.gov/java/profile?symbol=DOUMP2"/>
    <hyperlink ref="D1513" r:id="rId938" display="http://www.plants.usda.gov/java/profile?symbol=DOUMU"/>
    <hyperlink ref="D1515" r:id="rId939" display="http://www.plants.usda.gov/java/profile?symbol=DRNE"/>
    <hyperlink ref="D1518" r:id="rId940" display="http://www.plants.usda.gov/java/profile?symbol=DRRE2"/>
    <hyperlink ref="D1525" r:id="rId941" display="http://www.plants.usda.gov/java/profile?symbol=DRPA2"/>
    <hyperlink ref="D1527" r:id="rId942" display="http://www.plants.usda.gov/java/profile?symbol=DRRO"/>
    <hyperlink ref="D1528" r:id="rId943" display="http://www.plants.usda.gov/java/profile?symbol=DRROR"/>
    <hyperlink ref="D1529" r:id="rId944" display="http://www.plants.usda.gov/java/profile?symbol=DRBO2"/>
    <hyperlink ref="D1530" r:id="rId945" display="http://www.plants.usda.gov/java/profile?symbol=DRCA11"/>
    <hyperlink ref="D1533" r:id="rId946" display="http://www.plants.usda.gov/java/profile?symbol=DRCR4"/>
    <hyperlink ref="D1534" r:id="rId947" display="http://www.plants.usda.gov/java/profile?symbol=DRGO"/>
    <hyperlink ref="D1535" r:id="rId948" display="http://www.plants.usda.gov/java/profile?symbol=DRIN5"/>
    <hyperlink ref="D1539" r:id="rId949" display="http://www.plants.usda.gov/java/profile?symbol=DRMA4"/>
    <hyperlink ref="D1540" r:id="rId950" display="http://www.plants.usda.gov/java/profile?symbol=DRTR"/>
    <hyperlink ref="D1544" r:id="rId951" display="http://www.plants.usda.gov/java/profile?symbol=DRUL2"/>
    <hyperlink ref="D1545" r:id="rId952" display="http://www.plants.usda.gov/java/profile?symbol=DYPA"/>
    <hyperlink ref="D1548" r:id="rId953" display="http://www.plants.usda.gov/java/profile?symbol=ECAN2"/>
    <hyperlink ref="D1549" r:id="rId954" display="http://www.plants.usda.gov/java/profile?symbol=ECANA"/>
    <hyperlink ref="D1552" r:id="rId955" display="http://www.plants.usda.gov/java/profile?symbol=ECPA"/>
    <hyperlink ref="D1555" r:id="rId956" display="http://www.plants.usda.gov/java/profile?symbol=ECPU"/>
    <hyperlink ref="D1559" r:id="rId957" display="http://www.plants.usda.gov/java/profile?symbol=ECLO"/>
    <hyperlink ref="D1562" r:id="rId958" display="http://www.plants.usda.gov/java/profile?symbol=ECBE2"/>
    <hyperlink ref="D1566" r:id="rId959" display="http://www.plants.usda.gov/java/profile?symbol=ECCO3"/>
    <hyperlink ref="D1568" r:id="rId960" display="http://www.plants.usda.gov/java/profile?symbol=ECPR"/>
    <hyperlink ref="D1573" r:id="rId961" display="http://www.plants.usda.gov/java/profile?symbol=ELRU"/>
    <hyperlink ref="D1575" r:id="rId962" display="http://www.plants.usda.gov/java/profile?symbol=ELNY"/>
    <hyperlink ref="D1578" r:id="rId963" display="http://www.plants.usda.gov/java/profile?symbol=ELCA7"/>
    <hyperlink ref="D1587" r:id="rId964" display="http://www.plants.usda.gov/java/profile?symbol=ELNU2"/>
    <hyperlink ref="D1598" r:id="rId965" display="http://www.plants.usda.gov/java/profile?symbol=ENBI"/>
    <hyperlink ref="D1600" r:id="rId966" display="http://www.plants.usda.gov/java/profile?symbol=EPCI"/>
    <hyperlink ref="D1601" r:id="rId967" display="http://www.plants.usda.gov/java/profile?symbol=EPCIC"/>
    <hyperlink ref="D1621" r:id="rId968" display="http://www.plants.usda.gov/java/profile?symbol=EPCO"/>
    <hyperlink ref="D1622" r:id="rId969" display="http://www.plants.usda.gov/java/profile?symbol=EPLE2"/>
    <hyperlink ref="D1629" r:id="rId970" display="http://www.plants.usda.gov/java/profile?symbol=EPST"/>
    <hyperlink ref="D1631" r:id="rId971" display="http://www.plants.usda.gov/java/profile?symbol=EPWI"/>
    <hyperlink ref="D1632" r:id="rId972" display="http://www.plants.usda.gov/java/profile?symbol=EQAR"/>
    <hyperlink ref="D1638" r:id="rId973" display="http://www.plants.usda.gov/java/profile?symbol=EQFE"/>
    <hyperlink ref="D1642" r:id="rId974" display="http://www.plants.usda.gov/java/profile?symbol=EQFL"/>
    <hyperlink ref="D1645" r:id="rId975" display="http://www.plants.usda.gov/java/profile?symbol=EQHY"/>
    <hyperlink ref="D1646" r:id="rId976" display="http://www.plants.usda.gov/java/profile?symbol=EQHYA"/>
    <hyperlink ref="D1656" r:id="rId977" display="http://www.plants.usda.gov/java/profile?symbol=EQLA"/>
    <hyperlink ref="D1661" r:id="rId978" display="http://www.plants.usda.gov/java/profile?symbol=EQLI"/>
    <hyperlink ref="D1662" r:id="rId979" display="http://www.plants.usda.gov/java/profile?symbol=EQPR"/>
    <hyperlink ref="D1663" r:id="rId980" display="http://www.plants.usda.gov/java/profile?symbol=EQSC"/>
    <hyperlink ref="D1664" r:id="rId981" display="http://www.plants.usda.gov/java/profile?symbol=EQSY"/>
    <hyperlink ref="D1667" r:id="rId982" display="http://www.plants.usda.gov/java/profile?symbol=ERHI2"/>
    <hyperlink ref="D1669" r:id="rId983" display="http://www.plants.usda.gov/java/profile?symbol=ERHIH"/>
    <hyperlink ref="D1673" r:id="rId984" display="http://www.plants.usda.gov/java/profile?symbol=ERAN"/>
    <hyperlink ref="D1676" r:id="rId985" display="http://www.plants.usda.gov/java/profile?symbol=ERPH"/>
    <hyperlink ref="D1677" r:id="rId986" display="http://www.plants.usda.gov/java/profile?symbol=ERPHP"/>
    <hyperlink ref="D1681" r:id="rId987" display="http://www.plants.usda.gov/java/profile?symbol=ERPU"/>
    <hyperlink ref="D1682" r:id="rId988" display="http://www.plants.usda.gov/java/profile?symbol=ERPUP"/>
    <hyperlink ref="D1684" r:id="rId989" display="http://www.plants.usda.gov/java/profile?symbol=ERST3"/>
    <hyperlink ref="D1685" r:id="rId990" display="http://www.plants.usda.gov/java/profile?symbol=ERSTS"/>
    <hyperlink ref="D1687" r:id="rId991" display="http://www.plants.usda.gov/java/profile?symbol=ERYU"/>
    <hyperlink ref="D1688" r:id="rId992" display="http://www.plants.usda.gov/java/profile?symbol=ERYUY"/>
    <hyperlink ref="D1689" r:id="rId993" display="http://www.plants.usda.gov/java/profile?symbol=ERAS2"/>
    <hyperlink ref="D1691" r:id="rId994" display="http://www.plants.usda.gov/java/profile?symbol=ERCA14"/>
    <hyperlink ref="D1692" r:id="rId995" display="http://www.plants.usda.gov/java/profile?symbol=ERCAC"/>
    <hyperlink ref="D1701" r:id="rId996" display="http://www.plants.usda.gov/java/profile?symbol=ERIN7"/>
    <hyperlink ref="D1702" r:id="rId997" display="http://www.plants.usda.gov/java/profile?symbol=ERINI6"/>
    <hyperlink ref="D1705" r:id="rId998" display="http://www.plants.usda.gov/java/profile?symbol=ERAL9"/>
    <hyperlink ref="D1706" r:id="rId999" display="http://www.plants.usda.gov/java/profile?symbol=ERAM5"/>
    <hyperlink ref="D1707" r:id="rId1000" display="http://www.plants.usda.gov/java/profile?symbol=ERAMA2"/>
    <hyperlink ref="D1708" r:id="rId1001" display="http://www.plants.usda.gov/java/profile?symbol=ERME15"/>
    <hyperlink ref="D1711" r:id="rId1002" display="http://www.plants.usda.gov/java/profile?symbol=EUMA12"/>
    <hyperlink ref="D1712" r:id="rId1003" display="http://www.plants.usda.gov/java/profile?symbol=EUMAB"/>
    <hyperlink ref="D1716" r:id="rId1004" display="http://www.plants.usda.gov/java/profile?symbol=EUMAM3"/>
    <hyperlink ref="D1720" r:id="rId1005" display="http://www.plants.usda.gov/java/profile?symbol=EUAL3"/>
    <hyperlink ref="D1722" r:id="rId1006" display="http://www.plants.usda.gov/java/profile?symbol=EUPE3"/>
    <hyperlink ref="D1723" r:id="rId1007" display="http://www.plants.usda.gov/java/profile?symbol=EUPEP"/>
    <hyperlink ref="D1724" r:id="rId1008" display="http://www.plants.usda.gov/java/profile?symbol=EUPU10"/>
    <hyperlink ref="D1725" r:id="rId1009" display="http://www.plants.usda.gov/java/profile?symbol=EUPUH"/>
    <hyperlink ref="D1727" r:id="rId1010" display="http://www.plants.usda.gov/java/profile?symbol=EUPUP"/>
    <hyperlink ref="D1732" r:id="rId1011" display="http://www.plants.usda.gov/java/profile?symbol=EUSE2"/>
    <hyperlink ref="D1733" r:id="rId1012" display="http://www.plants.usda.gov/java/profile?symbol=EUSE3"/>
    <hyperlink ref="D1734" r:id="rId1013" display="http://www.plants.usda.gov/java/profile?symbol=EUSEB"/>
    <hyperlink ref="D1735" r:id="rId1014" display="http://www.plants.usda.gov/java/profile?symbol=EUTR5"/>
    <hyperlink ref="D1742" r:id="rId1015" display="http://www.plants.usda.gov/java/profile?symbol=EUCO8"/>
    <hyperlink ref="D1747" r:id="rId1016" display="http://www.plants.usda.gov/java/profile?symbol=EUCO10"/>
    <hyperlink ref="D1753" r:id="rId1017" display="http://www.plants.usda.gov/java/profile?symbol=EUCY"/>
    <hyperlink ref="D1765" r:id="rId1018" display="http://www.plants.usda.gov/java/profile?symbol=EUDE4"/>
    <hyperlink ref="D1766" r:id="rId1019" display="http://www.plants.usda.gov/java/profile?symbol=EUDED"/>
    <hyperlink ref="D1772" r:id="rId1020" display="http://www.plants.usda.gov/java/profile?symbol=EUHE5"/>
    <hyperlink ref="D1774" r:id="rId1021" display="http://www.plants.usda.gov/java/profile?symbol=EUMA8"/>
    <hyperlink ref="D1778" r:id="rId1022" display="http://www.plants.usda.gov/java/profile?symbol=EUSP"/>
    <hyperlink ref="D1789" r:id="rId1023" display="http://www.plants.usda.gov/java/profile?symbol=EUFU3"/>
    <hyperlink ref="D1791" r:id="rId1024" display="http://www.plants.usda.gov/java/profile?symbol=EUMA27"/>
    <hyperlink ref="D1805" r:id="rId1025" display="http://www.plants.usda.gov/java/profile?symbol=EUSC5"/>
    <hyperlink ref="D1811" r:id="rId1026" display="http://www.plants.usda.gov/java/profile?symbol=EUGR5"/>
    <hyperlink ref="D1812" r:id="rId1027" display="http://www.plants.usda.gov/java/profile?symbol=EUGRG"/>
    <hyperlink ref="D1825" r:id="rId1028" display="http://www.plants.usda.gov/java/profile?symbol=EUGY"/>
    <hyperlink ref="D1843" r:id="rId1029" display="http://www.plants.usda.gov/java/profile?symbol=FIRU2"/>
    <hyperlink ref="D1844" r:id="rId1030" display="http://www.plants.usda.gov/java/profile?symbol=FLPR"/>
    <hyperlink ref="D1846" r:id="rId1031" display="http://www.plants.usda.gov/java/profile?symbol=FRVE"/>
    <hyperlink ref="D1847" r:id="rId1032" display="http://www.plants.usda.gov/java/profile?symbol=FRVEA2"/>
    <hyperlink ref="D1850" r:id="rId1033" display="http://www.plants.usda.gov/java/profile?symbol=FRVI"/>
    <hyperlink ref="D1851" r:id="rId1034" display="http://www.plants.usda.gov/java/profile?symbol=FRVIG2"/>
    <hyperlink ref="D1859" r:id="rId1035" display="http://www.plants.usda.gov/java/profile?symbol=FRVIG3"/>
    <hyperlink ref="D1862" r:id="rId1036" display="http://www.plants.usda.gov/java/profile?symbol=FRVIV"/>
    <hyperlink ref="D1867" r:id="rId1037" display="http://www.plants.usda.gov/java/profile?symbol=FRFL"/>
    <hyperlink ref="D1868" r:id="rId1038" display="http://www.plants.usda.gov/java/profile?symbol=FRFLC"/>
    <hyperlink ref="D1870" r:id="rId1039" display="http://www.plants.usda.gov/java/profile?symbol=FRGR3"/>
    <hyperlink ref="D1873" r:id="rId1040" display="http://www.plants.usda.gov/java/profile?symbol=GAPU"/>
    <hyperlink ref="D1874" r:id="rId1041" display="http://www.plants.usda.gov/java/profile?symbol=GAPUP2"/>
    <hyperlink ref="D1878" r:id="rId1042" display="http://www.plants.usda.gov/java/profile?symbol=GASP5"/>
    <hyperlink ref="D1881" r:id="rId1043" display="http://www.plants.usda.gov/java/profile?symbol=GAAP2"/>
    <hyperlink ref="D1893" r:id="rId1044" display="http://www.plants.usda.gov/java/profile?symbol=GAAS2"/>
    <hyperlink ref="D1894" r:id="rId1045" display="http://www.plants.usda.gov/java/profile?symbol=GABO2"/>
    <hyperlink ref="D1905" r:id="rId1046" display="http://www.plants.usda.gov/java/profile?symbol=GACI2"/>
    <hyperlink ref="D1906" r:id="rId1047" display="http://www.plants.usda.gov/java/profile?symbol=GACIH"/>
    <hyperlink ref="D1907" r:id="rId1048" display="http://www.plants.usda.gov/java/profile?symbol=GACO3"/>
    <hyperlink ref="D1908" r:id="rId1049" display="http://www.plants.usda.gov/java/profile?symbol=GALA2"/>
    <hyperlink ref="D1910" r:id="rId1050" display="http://www.plants.usda.gov/java/profile?symbol=GAOB"/>
    <hyperlink ref="D1911" r:id="rId1051" display="http://www.plants.usda.gov/java/profile?symbol=GAOBO"/>
    <hyperlink ref="D1914" r:id="rId1052" display="http://www.plants.usda.gov/java/profile?symbol=GATI"/>
    <hyperlink ref="D1923" r:id="rId1053" display="http://www.plants.usda.gov/java/profile?symbol=GATR2"/>
    <hyperlink ref="D1924" r:id="rId1054" display="http://www.plants.usda.gov/java/profile?symbol=GATRT5"/>
    <hyperlink ref="D1926" r:id="rId1055" display="http://www.plants.usda.gov/java/profile?symbol=GATR3"/>
    <hyperlink ref="D1931" r:id="rId1056" display="http://www.plants.usda.gov/java/profile?symbol=GAPU3"/>
    <hyperlink ref="D1933" r:id="rId1057" display="http://www.plants.usda.gov/java/profile?symbol=GABI2"/>
    <hyperlink ref="D1934" r:id="rId1058" display="http://www.plants.usda.gov/java/profile?symbol=GACO5"/>
    <hyperlink ref="D1942" r:id="rId1059" display="http://www.plants.usda.gov/java/profile?symbol=GALO3"/>
    <hyperlink ref="D1946" r:id="rId1060" display="http://www.plants.usda.gov/java/profile?symbol=GAMO5"/>
    <hyperlink ref="D1950" r:id="rId1061" display="http://www.plants.usda.gov/java/profile?symbol=GEAL4"/>
    <hyperlink ref="D1952" r:id="rId1062" display="http://www.plants.usda.gov/java/profile?symbol=GEAN"/>
    <hyperlink ref="D1953" r:id="rId1063" display="http://www.plants.usda.gov/java/profile?symbol=GEANA"/>
    <hyperlink ref="D1956" r:id="rId1064" display="http://www.plants.usda.gov/java/profile?symbol=GEAND"/>
    <hyperlink ref="D1957" r:id="rId1065" display="http://www.plants.usda.gov/java/profile?symbol=GEBI5"/>
    <hyperlink ref="D1958" r:id="rId1066" display="http://www.plants.usda.gov/java/profile?symbol=GECU3"/>
    <hyperlink ref="D1959" r:id="rId1067" display="http://www.plants.usda.gov/java/profile?symbol=GEPA4"/>
    <hyperlink ref="D1960" r:id="rId1068" display="http://www.plants.usda.gov/java/profile?symbol=GEPU5"/>
    <hyperlink ref="D1962" r:id="rId1069" display="http://www.plants.usda.gov/java/profile?symbol=GEQU2"/>
    <hyperlink ref="D1963" r:id="rId1070" display="http://www.plants.usda.gov/java/profile?symbol=GEQUO"/>
    <hyperlink ref="D1966" r:id="rId1071" display="http://www.plants.usda.gov/java/profile?symbol=GECR2"/>
    <hyperlink ref="D1972" r:id="rId1072" display="http://www.plants.usda.gov/java/profile?symbol=GEVI6"/>
    <hyperlink ref="D1973" r:id="rId1073" display="http://www.plants.usda.gov/java/profile?symbol=GEVIV3"/>
    <hyperlink ref="D1978" r:id="rId1074" display="http://www.plants.usda.gov/java/profile?symbol=GEBI2"/>
    <hyperlink ref="D1983" r:id="rId1075" display="http://www.plants.usda.gov/java/profile?symbol=GECA5"/>
    <hyperlink ref="D1984" r:id="rId1076" display="http://www.plants.usda.gov/java/profile?symbol=GECAC4"/>
    <hyperlink ref="D1986" r:id="rId1077" display="http://www.plants.usda.gov/java/profile?symbol=GEMA"/>
    <hyperlink ref="D1987" r:id="rId1078" display="http://www.plants.usda.gov/java/profile?symbol=GEAL3"/>
    <hyperlink ref="D1992" r:id="rId1079" display="http://www.plants.usda.gov/java/profile?symbol=GECA7"/>
    <hyperlink ref="D1993" r:id="rId1080" display="http://www.plants.usda.gov/java/profile?symbol=GECAC6"/>
    <hyperlink ref="D1997" r:id="rId1081" display="http://www.plants.usda.gov/java/profile?symbol=GELA"/>
    <hyperlink ref="D1998" r:id="rId1082" display="http://www.plants.usda.gov/java/profile?symbol=GELAT"/>
    <hyperlink ref="D1999" r:id="rId1083" display="http://www.plants.usda.gov/java/profile?symbol=GETR"/>
    <hyperlink ref="D2000" r:id="rId1084" display="http://www.plants.usda.gov/java/profile?symbol=GETRT"/>
    <hyperlink ref="D2004" r:id="rId1085" display="http://www.plants.usda.gov/java/profile?symbol=GEVE"/>
    <hyperlink ref="D2006" r:id="rId1086" display="http://www.plants.usda.gov/java/profile?symbol=GLCA2"/>
    <hyperlink ref="D2017" r:id="rId1087" display="http://www.plants.usda.gov/java/profile?symbol=GLLE3"/>
    <hyperlink ref="D2020" r:id="rId1088" display="http://www.plants.usda.gov/java/profile?symbol=GOPU"/>
    <hyperlink ref="D2022" r:id="rId1089" display="http://www.plants.usda.gov/java/profile?symbol=GRNE"/>
    <hyperlink ref="D2024" r:id="rId1090" display="http://www.plants.usda.gov/java/profile?symbol=GRVI"/>
    <hyperlink ref="D2025" r:id="rId1091" display="http://www.plants.usda.gov/java/profile?symbol=GRVIV"/>
    <hyperlink ref="D2027" r:id="rId1092" display="http://www.plants.usda.gov/java/profile?symbol=GRPA8"/>
    <hyperlink ref="D2030" r:id="rId1093" display="http://www.plants.usda.gov/java/profile?symbol=GRSQ"/>
    <hyperlink ref="D2031" r:id="rId1094" display="http://www.plants.usda.gov/java/profile?symbol=GRSQS2"/>
    <hyperlink ref="D2032" r:id="rId1095" display="http://www.plants.usda.gov/java/profile?symbol=GYBR2"/>
    <hyperlink ref="D2033" r:id="rId1096" display="http://www.plants.usda.gov/java/profile?symbol=GYDR"/>
    <hyperlink ref="D2038" r:id="rId1097" display="http://www.plants.usda.gov/java/profile?symbol=GYIN"/>
    <hyperlink ref="D2039" r:id="rId1098" display="http://www.plants.usda.gov/java/profile?symbol=GYJE"/>
    <hyperlink ref="D2040" r:id="rId1099" display="http://www.plants.usda.gov/java/profile?symbol=GYJEP"/>
    <hyperlink ref="D2041" r:id="rId1100" display="http://www.plants.usda.gov/java/profile?symbol=GYRO"/>
    <hyperlink ref="D2045" r:id="rId1101" display="http://www.plants.usda.gov/java/profile?symbol=HADE"/>
    <hyperlink ref="D2046" r:id="rId1102" display="http://www.plants.usda.gov/java/profile?symbol=HADEA"/>
    <hyperlink ref="D2053" r:id="rId1103" display="http://www.plants.usda.gov/java/profile?symbol=HAVI2"/>
    <hyperlink ref="D2056" r:id="rId1104" display="http://www.plants.usda.gov/java/profile?symbol=HASU3"/>
    <hyperlink ref="D2059" r:id="rId1105" display="http://www.plants.usda.gov/java/profile?symbol=HEHI"/>
    <hyperlink ref="D2060" r:id="rId1106" display="http://www.plants.usda.gov/java/profile?symbol=HEPU"/>
    <hyperlink ref="D2064" r:id="rId1107" display="http://www.plants.usda.gov/java/profile?symbol=HEAM"/>
    <hyperlink ref="D2065" r:id="rId1108" display="http://www.plants.usda.gov/java/profile?symbol=HEAMA"/>
    <hyperlink ref="D2067" r:id="rId1109" display="http://www.plants.usda.gov/java/profile?symbol=HEAU"/>
    <hyperlink ref="D2068" r:id="rId1110" display="http://www.plants.usda.gov/java/profile?symbol=HEAUA"/>
    <hyperlink ref="D2074" r:id="rId1111" display="http://www.plants.usda.gov/java/profile?symbol=HEBI2"/>
    <hyperlink ref="D2077" r:id="rId1112" display="http://www.plants.usda.gov/java/profile?symbol=HECA3"/>
    <hyperlink ref="D2080" r:id="rId1113" display="http://www.plants.usda.gov/java/profile?symbol=HEAN3"/>
    <hyperlink ref="D2089" r:id="rId1114" display="http://www.plants.usda.gov/java/profile?symbol=HEDE"/>
    <hyperlink ref="D2092" r:id="rId1115" display="http://www.plants.usda.gov/java/profile?symbol=HEDI2"/>
    <hyperlink ref="D2094" r:id="rId1116" display="http://www.plants.usda.gov/java/profile?symbol=HEDO"/>
    <hyperlink ref="D2096" r:id="rId1117" display="http://www.plants.usda.gov/java/profile?symbol=HEGI"/>
    <hyperlink ref="D2104" r:id="rId1118" display="http://www.plants.usda.gov/java/profile?symbol=HEGR4"/>
    <hyperlink ref="D2108" r:id="rId1119" display="http://www.plants.usda.gov/java/profile?symbol=HEHI2"/>
    <hyperlink ref="D2112" r:id="rId1120" display="http://www.plants.usda.gov/java/profile?symbol=HEIN2"/>
    <hyperlink ref="D2113" r:id="rId1121" display="http://www.plants.usda.gov/java/profile?symbol=HELA"/>
    <hyperlink ref="D2115" r:id="rId1122" display="http://www.plants.usda.gov/java/profile?symbol=HEMA2"/>
    <hyperlink ref="D2117" r:id="rId1123" display="http://www.plants.usda.gov/java/profile?symbol=HEMO2"/>
    <hyperlink ref="D2119" r:id="rId1124" display="http://www.plants.usda.gov/java/profile?symbol=HENU"/>
    <hyperlink ref="D2120" r:id="rId1125" display="http://www.plants.usda.gov/java/profile?symbol=HENUR"/>
    <hyperlink ref="D2123" r:id="rId1126" display="http://www.plants.usda.gov/java/profile?symbol=HEOC2"/>
    <hyperlink ref="D2124" r:id="rId1127" display="http://www.plants.usda.gov/java/profile?symbol=HEOCO"/>
    <hyperlink ref="D2127" r:id="rId1128" display="http://www.plants.usda.gov/java/profile?symbol=HEPA19"/>
    <hyperlink ref="D2128" r:id="rId1129" display="http://www.plants.usda.gov/java/profile?symbol=HEPAP2"/>
    <hyperlink ref="D2131" r:id="rId1130" display="http://www.plants.usda.gov/java/profile?symbol=HEPAS"/>
    <hyperlink ref="D2138" r:id="rId1131" display="http://www.plants.usda.gov/java/profile?symbol=HEPE"/>
    <hyperlink ref="D2139" r:id="rId1132" display="http://www.plants.usda.gov/java/profile?symbol=HEPEP"/>
    <hyperlink ref="D2140" r:id="rId1133" display="http://www.plants.usda.gov/java/profile?symbol=HEST"/>
    <hyperlink ref="D2143" r:id="rId1134" display="http://www.plants.usda.gov/java/profile?symbol=HETU"/>
    <hyperlink ref="D2146" r:id="rId1135" display="http://www.plants.usda.gov/java/profile?symbol=HEHE5"/>
    <hyperlink ref="D2147" r:id="rId1136" display="http://www.plants.usda.gov/java/profile?symbol=HEHEO"/>
    <hyperlink ref="D2149" r:id="rId1137" display="http://www.plants.usda.gov/java/profile?symbol=HEHES"/>
    <hyperlink ref="D2153" r:id="rId1138" display="http://www.plants.usda.gov/java/profile?symbol=HETE3"/>
    <hyperlink ref="D2155" r:id="rId1139" display="http://www.plants.usda.gov/java/profile?symbol=HENO2"/>
    <hyperlink ref="D2156" r:id="rId1140" display="http://www.plants.usda.gov/java/profile?symbol=HENOA"/>
    <hyperlink ref="D2161" r:id="rId1141" display="http://www.plants.usda.gov/java/profile?symbol=HENOO"/>
    <hyperlink ref="D2167" r:id="rId1142" display="http://www.plants.usda.gov/java/profile?symbol=HEMA80"/>
    <hyperlink ref="D2171" r:id="rId1143" display="http://www.plants.usda.gov/java/profile?symbol=HEDU2"/>
    <hyperlink ref="D2176" r:id="rId1144" display="http://www.plants.usda.gov/java/profile?symbol=HELI2"/>
    <hyperlink ref="D2178" r:id="rId1145" display="http://www.plants.usda.gov/java/profile?symbol=HERE"/>
    <hyperlink ref="D2179" r:id="rId1146" display="http://www.plants.usda.gov/java/profile?symbol=HECA16"/>
    <hyperlink ref="D2180" r:id="rId1147" display="http://www.plants.usda.gov/java/profile?symbol=HECAC2"/>
    <hyperlink ref="D2184" r:id="rId1148" display="http://www.plants.usda.gov/java/profile?symbol=HEST3"/>
    <hyperlink ref="D2185" r:id="rId1149" display="http://www.plants.usda.gov/java/profile?symbol=HESTS"/>
    <hyperlink ref="D2190" r:id="rId1150" display="http://www.plants.usda.gov/java/profile?symbol=HESU3"/>
    <hyperlink ref="D2202" r:id="rId1151" display="http://www.plants.usda.gov/java/profile?symbol=HEVI4"/>
    <hyperlink ref="D2203" r:id="rId1152" display="http://www.plants.usda.gov/java/profile?symbol=HEVIM3"/>
    <hyperlink ref="D2212" r:id="rId1153" display="http://www.plants.usda.gov/java/profile?symbol=HEVIV"/>
    <hyperlink ref="D2215" r:id="rId1154" display="http://www.plants.usda.gov/java/profile?symbol=HEAM6"/>
    <hyperlink ref="D2216" r:id="rId1155" display="http://www.plants.usda.gov/java/profile?symbol=HEAMH"/>
    <hyperlink ref="D2219" r:id="rId1156" display="http://www.plants.usda.gov/java/profile?symbol=HERI"/>
    <hyperlink ref="D2224" r:id="rId1157" display="http://www.plants.usda.gov/java/profile?symbol=HILA2"/>
    <hyperlink ref="D2226" r:id="rId1158" display="http://www.plants.usda.gov/java/profile?symbol=HIKA2"/>
    <hyperlink ref="D2227" r:id="rId1159" display="http://www.plants.usda.gov/java/profile?symbol=HIKAF"/>
    <hyperlink ref="D2229" r:id="rId1160" display="http://www.plants.usda.gov/java/profile?symbol=HIKAK2"/>
    <hyperlink ref="D2231" r:id="rId1161" display="http://www.plants.usda.gov/java/profile?symbol=HILO2"/>
    <hyperlink ref="D2232" r:id="rId1162" display="http://www.plants.usda.gov/java/profile?symbol=HISC"/>
    <hyperlink ref="D2233" r:id="rId1163" display="http://www.plants.usda.gov/java/profile?symbol=HISCI"/>
    <hyperlink ref="D2234" r:id="rId1164" display="http://www.plants.usda.gov/java/profile?symbol=HISCS"/>
    <hyperlink ref="D2235" r:id="rId1165" display="http://www.plants.usda.gov/java/profile?symbol=HIUM"/>
    <hyperlink ref="D2242" r:id="rId1166" display="http://www.plants.usda.gov/java/profile?symbol=HIVU2"/>
    <hyperlink ref="D2243" r:id="rId1167" display="http://www.plants.usda.gov/java/profile?symbol=HOPU2"/>
    <hyperlink ref="D2244" r:id="rId1168" display="http://www.plants.usda.gov/java/profile?symbol=HOPUP3"/>
    <hyperlink ref="D2247" r:id="rId1169" display="http://www.plants.usda.gov/java/profile?symbol=HOPU3"/>
    <hyperlink ref="D2254" r:id="rId1170" display="http://www.plants.usda.gov/java/profile?symbol=HULU"/>
    <hyperlink ref="D2255" r:id="rId1171" display="http://www.plants.usda.gov/java/profile?symbol=HULUL"/>
    <hyperlink ref="D2258" r:id="rId1172" display="http://www.plants.usda.gov/java/profile?symbol=HULUP"/>
    <hyperlink ref="D2259" r:id="rId1173" display="http://www.plants.usda.gov/java/profile?symbol=HUBA"/>
    <hyperlink ref="D2261" r:id="rId1174" display="http://www.plants.usda.gov/java/profile?symbol=HULU2"/>
    <hyperlink ref="D2268" r:id="rId1175" display="http://www.plants.usda.gov/java/profile?symbol=HUPO2"/>
    <hyperlink ref="D2278" r:id="rId1176" display="http://www.plants.usda.gov/java/profile?symbol=HYCO6"/>
    <hyperlink ref="D2281" r:id="rId1177" display="http://www.plants.usda.gov/java/profile?symbol=HYCA"/>
    <hyperlink ref="D2282" r:id="rId1178" display="http://www.plants.usda.gov/java/profile?symbol=HYAP"/>
    <hyperlink ref="D2284" r:id="rId1179" display="http://www.plants.usda.gov/java/profile?symbol=HYCA3"/>
    <hyperlink ref="D2285" r:id="rId1180" display="http://www.plants.usda.gov/java/profile?symbol=HYVI"/>
    <hyperlink ref="D2286" r:id="rId1181" display="http://www.plants.usda.gov/java/profile?symbol=HYVIV"/>
    <hyperlink ref="D2287" r:id="rId1182" display="http://www.plants.usda.gov/java/profile?symbol=HYAS80"/>
    <hyperlink ref="D2289" r:id="rId1183" display="http://www.plants.usda.gov/java/profile?symbol=HYBO2"/>
    <hyperlink ref="D2291" r:id="rId1184" display="http://www.plants.usda.gov/java/profile?symbol=HYCA7"/>
    <hyperlink ref="D2294" r:id="rId1185" display="http://www.plants.usda.gov/java/profile?symbol=HYDR"/>
    <hyperlink ref="D2296" r:id="rId1186" display="http://www.plants.usda.gov/java/profile?symbol=HYEL"/>
    <hyperlink ref="D2297" r:id="rId1187" display="http://www.plants.usda.gov/java/profile?symbol=HYGE"/>
    <hyperlink ref="D2299" r:id="rId1188" display="http://www.plants.usda.gov/java/profile?symbol=HYMA2"/>
    <hyperlink ref="D2301" r:id="rId1189" display="http://www.plants.usda.gov/java/profile?symbol=HYMU"/>
    <hyperlink ref="D2304" r:id="rId1190" display="http://www.plants.usda.gov/java/profile?symbol=HYPU"/>
    <hyperlink ref="D2306" r:id="rId1191" display="http://www.plants.usda.gov/java/profile?symbol=HYSP2"/>
    <hyperlink ref="D2309" r:id="rId1192" display="http://www.plants.usda.gov/java/profile?symbol=HYHI2"/>
    <hyperlink ref="D2312" r:id="rId1193" display="http://www.plants.usda.gov/java/profile?symbol=IMCA"/>
    <hyperlink ref="D2317" r:id="rId1194" display="http://www.plants.usda.gov/java/profile?symbol=IMPA"/>
    <hyperlink ref="D2318" r:id="rId1195" display="http://www.plants.usda.gov/java/profile?symbol=IOPI"/>
    <hyperlink ref="D2322" r:id="rId1196" display="http://www.plants.usda.gov/java/profile?symbol=IOLI2"/>
    <hyperlink ref="D2325" r:id="rId1197" display="http://www.plants.usda.gov/java/profile?symbol=IPCR"/>
    <hyperlink ref="D2326" r:id="rId1198" display="http://www.plants.usda.gov/java/profile?symbol=IPHE"/>
    <hyperlink ref="D2334" r:id="rId1199" display="http://www.plants.usda.gov/java/profile?symbol=IPLA"/>
    <hyperlink ref="D2335" r:id="rId1200" display="http://www.plants.usda.gov/java/profile?symbol=IPPA"/>
    <hyperlink ref="D2337" r:id="rId1201" display="http://www.plants.usda.gov/java/profile?symbol=IPRU2"/>
    <hyperlink ref="D2339" r:id="rId1202" display="http://www.plants.usda.gov/java/profile?symbol=IRVI"/>
    <hyperlink ref="D2340" r:id="rId1203" display="http://www.plants.usda.gov/java/profile?symbol=IRVIS"/>
    <hyperlink ref="D2344" r:id="rId1204" display="http://www.plants.usda.gov/java/profile?symbol=IVAN2"/>
    <hyperlink ref="D2345" r:id="rId1205" display="http://www.plants.usda.gov/java/profile?symbol=IVANA"/>
    <hyperlink ref="D2347" r:id="rId1206" display="http://www.plants.usda.gov/java/profile?symbol=JEDI"/>
    <hyperlink ref="D2348" r:id="rId1207" display="http://www.plants.usda.gov/java/profile?symbol=JUAM"/>
    <hyperlink ref="D2354" r:id="rId1208" display="http://www.plants.usda.gov/java/profile?symbol=KRBI"/>
    <hyperlink ref="D2355" r:id="rId1209" display="http://www.plants.usda.gov/java/profile?symbol=KRBIB"/>
    <hyperlink ref="D2360" r:id="rId1210" display="http://www.plants.usda.gov/java/profile?symbol=KRDA"/>
    <hyperlink ref="D2362" r:id="rId1211" display="http://www.plants.usda.gov/java/profile?symbol=KRVI"/>
    <hyperlink ref="D2364" r:id="rId1212" display="http://www.plants.usda.gov/java/profile?symbol=LABI"/>
    <hyperlink ref="D2369" r:id="rId1213" display="http://www.plants.usda.gov/java/profile?symbol=LACA"/>
    <hyperlink ref="D2377" r:id="rId1214" display="http://www.plants.usda.gov/java/profile?symbol=LAFL"/>
    <hyperlink ref="D2378" r:id="rId1215" display="http://www.plants.usda.gov/java/profile?symbol=LAFLF"/>
    <hyperlink ref="D2380" r:id="rId1216" display="http://www.plants.usda.gov/java/profile?symbol=LAFLV"/>
    <hyperlink ref="D2383" r:id="rId1217" display="http://www.plants.usda.gov/java/profile?symbol=LALU"/>
    <hyperlink ref="D2386" r:id="rId1218" display="http://www.plants.usda.gov/java/profile?symbol=LATA"/>
    <hyperlink ref="D2387" r:id="rId1219" display="http://www.plants.usda.gov/java/profile?symbol=LATAP"/>
    <hyperlink ref="D2394" r:id="rId1220" display="http://www.plants.usda.gov/java/profile?symbol=LACA3"/>
    <hyperlink ref="D2397" r:id="rId1221" display="http://www.plants.usda.gov/java/profile?symbol=LAOC3"/>
    <hyperlink ref="D2398" r:id="rId1222" display="http://www.plants.usda.gov/java/profile?symbol=LAOCC"/>
    <hyperlink ref="D2405" r:id="rId1223" display="http://www.plants.usda.gov/java/profile?symbol=LAOCO"/>
    <hyperlink ref="D2411" r:id="rId1224" display="http://www.plants.usda.gov/java/profile?symbol=LAOC2"/>
    <hyperlink ref="D2412" r:id="rId1225" display="http://www.plants.usda.gov/java/profile?symbol=LAPA4"/>
    <hyperlink ref="D2422" r:id="rId1226" display="http://www.plants.usda.gov/java/profile?symbol=LAVE"/>
    <hyperlink ref="D2428" r:id="rId1227" display="http://www.plants.usda.gov/java/profile?symbol=LEIN"/>
    <hyperlink ref="D2429" r:id="rId1228" display="http://www.plants.usda.gov/java/profile?symbol=LEINI2"/>
    <hyperlink ref="D2430" r:id="rId1229" display="http://www.plants.usda.gov/java/profile?symbol=LEMU3"/>
    <hyperlink ref="D2435" r:id="rId1230" display="http://www.plants.usda.gov/java/profile?symbol=LERA"/>
    <hyperlink ref="D2436" r:id="rId1231" display="http://www.plants.usda.gov/java/profile?symbol=LEST"/>
    <hyperlink ref="D2437" r:id="rId1232" display="http://www.plants.usda.gov/java/profile?symbol=LETE"/>
    <hyperlink ref="D2439" r:id="rId1233" display="http://www.plants.usda.gov/java/profile?symbol=LEAE2"/>
    <hyperlink ref="D2443" r:id="rId1234" display="http://www.plants.usda.gov/java/profile?symbol=LEMI3"/>
    <hyperlink ref="D2446" r:id="rId1235" display="http://www.plants.usda.gov/java/profile?symbol=LEOB2"/>
    <hyperlink ref="D2448" r:id="rId1236" display="http://www.plants.usda.gov/java/profile?symbol=LEPE"/>
    <hyperlink ref="D2450" r:id="rId1237" display="http://www.plants.usda.gov/java/profile?symbol=LETR"/>
    <hyperlink ref="D2451" r:id="rId1238" display="http://www.plants.usda.gov/java/profile?symbol=LETU2"/>
    <hyperlink ref="D2452" r:id="rId1239" display="http://www.plants.usda.gov/java/profile?symbol=LEDE"/>
    <hyperlink ref="D2453" r:id="rId1240" display="http://www.plants.usda.gov/java/profile?symbol=LEDED"/>
    <hyperlink ref="D2457" r:id="rId1241" display="http://www.plants.usda.gov/java/profile?symbol=LEVI3"/>
    <hyperlink ref="D2458" r:id="rId1242" display="http://www.plants.usda.gov/java/profile?symbol=LEVIV2"/>
    <hyperlink ref="D2460" r:id="rId1243" display="http://www.plants.usda.gov/java/profile?symbol=LECA8"/>
    <hyperlink ref="D2465" r:id="rId1244" display="http://www.plants.usda.gov/java/profile?symbol=LELE5"/>
    <hyperlink ref="D2466" r:id="rId1245" display="http://www.plants.usda.gov/java/profile?symbol=LENU"/>
    <hyperlink ref="D2467" r:id="rId1246" display="http://www.plants.usda.gov/java/profile?symbol=LERE2"/>
    <hyperlink ref="D2469" r:id="rId1247" display="http://www.plants.usda.gov/java/profile?symbol=LESI2"/>
    <hyperlink ref="D2470" r:id="rId1248" display="http://www.plants.usda.gov/java/profile?symbol=LEVI6"/>
    <hyperlink ref="D2474" r:id="rId1249" display="http://www.plants.usda.gov/java/profile?symbol=LEVI7"/>
    <hyperlink ref="D2475" r:id="rId1250" display="http://www.plants.usda.gov/java/profile?symbol=LELU"/>
    <hyperlink ref="D2476" r:id="rId1251" display="http://www.plants.usda.gov/java/profile?symbol=LEMU"/>
    <hyperlink ref="D2478" r:id="rId1252" display="http://www.plants.usda.gov/java/profile?symbol=LIAS"/>
    <hyperlink ref="D2479" r:id="rId1253" display="http://www.plants.usda.gov/java/profile?symbol=LIASA"/>
    <hyperlink ref="D2481" r:id="rId1254" display="http://www.plants.usda.gov/java/profile?symbol=LICY"/>
    <hyperlink ref="D2483" r:id="rId1255" display="http://www.plants.usda.gov/java/profile?symbol=LILI"/>
    <hyperlink ref="D2485" r:id="rId1256" display="http://www.plants.usda.gov/java/profile?symbol=LIPU"/>
    <hyperlink ref="D2486" r:id="rId1257" display="http://www.plants.usda.gov/java/profile?symbol=LIPUN"/>
    <hyperlink ref="D2487" r:id="rId1258" display="http://www.plants.usda.gov/java/profile?symbol=LIPUP"/>
    <hyperlink ref="D2490" r:id="rId1259" display="http://www.plants.usda.gov/java/profile?symbol=LIPY"/>
    <hyperlink ref="D2491" r:id="rId1260" display="http://www.plants.usda.gov/java/profile?symbol=LIPYP"/>
    <hyperlink ref="D2494" r:id="rId1261" display="http://www.plants.usda.gov/java/profile?symbol=LISP4"/>
    <hyperlink ref="D2496" r:id="rId1262" display="http://www.plants.usda.gov/java/profile?symbol=LISQ"/>
    <hyperlink ref="D2497" r:id="rId1263" display="http://www.plants.usda.gov/java/profile?symbol=LISQG"/>
    <hyperlink ref="D2499" r:id="rId1264" display="http://www.plants.usda.gov/java/profile?symbol=LISQH"/>
    <hyperlink ref="D2501" r:id="rId1265" display="http://www.plants.usda.gov/java/profile?symbol=LIMI9"/>
    <hyperlink ref="D2505" r:id="rId1266" display="http://www.plants.usda.gov/java/profile?symbol=LIPH"/>
    <hyperlink ref="D2506" r:id="rId1267" display="http://www.plants.usda.gov/java/profile?symbol=LIPHA"/>
    <hyperlink ref="D2511" r:id="rId1268" display="http://www.plants.usda.gov/java/profile?symbol=LIPI2"/>
    <hyperlink ref="D2513" r:id="rId1269" display="http://www.plants.usda.gov/java/profile?symbol=LIDU"/>
    <hyperlink ref="D2514" r:id="rId1270" display="http://www.plants.usda.gov/java/profile?symbol=LIDUA"/>
    <hyperlink ref="D2518" r:id="rId1271" display="http://www.plants.usda.gov/java/profile?symbol=LIDUD"/>
    <hyperlink ref="D2528" r:id="rId1272" display="http://www.plants.usda.gov/java/profile?symbol=LIBO3"/>
    <hyperlink ref="D2529" r:id="rId1273" display="http://www.plants.usda.gov/java/profile?symbol=LIBOA"/>
    <hyperlink ref="D2532" r:id="rId1274" display="http://www.plants.usda.gov/java/profile?symbol=LIME2"/>
    <hyperlink ref="D2533" r:id="rId1275" display="http://www.plants.usda.gov/java/profile?symbol=LIMET"/>
    <hyperlink ref="D2537" r:id="rId1276" display="http://www.plants.usda.gov/java/profile?symbol=LIPE2"/>
    <hyperlink ref="D2539" r:id="rId1277" display="http://www.plants.usda.gov/java/profile?symbol=LIRI"/>
    <hyperlink ref="D2540" r:id="rId1278" display="http://www.plants.usda.gov/java/profile?symbol=LIRIR"/>
    <hyperlink ref="D2544" r:id="rId1279" display="http://www.plants.usda.gov/java/profile?symbol=LISU4"/>
    <hyperlink ref="D2545" r:id="rId1280" display="http://www.plants.usda.gov/java/profile?symbol=LISUS"/>
    <hyperlink ref="D2548" r:id="rId1281" display="http://www.plants.usda.gov/java/profile?symbol=LIVI"/>
    <hyperlink ref="D2551" r:id="rId1282" display="http://www.plants.usda.gov/java/profile?symbol=LILI3"/>
    <hyperlink ref="D2552" r:id="rId1283" display="http://www.plants.usda.gov/java/profile?symbol=LILO"/>
    <hyperlink ref="D2553" r:id="rId1284" display="http://www.plants.usda.gov/java/profile?symbol=LICA12"/>
    <hyperlink ref="D2555" r:id="rId1285" display="http://www.plants.usda.gov/java/profile?symbol=LICA13"/>
    <hyperlink ref="D2556" r:id="rId1286" display="http://www.plants.usda.gov/java/profile?symbol=LICAC9"/>
    <hyperlink ref="D2559" r:id="rId1287" display="http://www.plants.usda.gov/java/profile?symbol=LIIN2"/>
    <hyperlink ref="D2564" r:id="rId1288" display="http://www.plants.usda.gov/java/profile?symbol=LILA2"/>
    <hyperlink ref="D2565" r:id="rId1289" display="http://www.plants.usda.gov/java/profile?symbol=LOCA2"/>
    <hyperlink ref="D2575" r:id="rId1290" display="http://www.plants.usda.gov/java/profile?symbol=LOIN"/>
    <hyperlink ref="D2576" r:id="rId1291" display="http://www.plants.usda.gov/java/profile?symbol=LOKA"/>
    <hyperlink ref="D2579" r:id="rId1292" display="http://www.plants.usda.gov/java/profile?symbol=LOSI"/>
    <hyperlink ref="D2580" r:id="rId1293" display="http://www.plants.usda.gov/java/profile?symbol=LOSIL"/>
    <hyperlink ref="D2581" r:id="rId1294" display="http://www.plants.usda.gov/java/profile?symbol=LOSIS2"/>
    <hyperlink ref="D2582" r:id="rId1295" display="http://www.plants.usda.gov/java/profile?symbol=LOSP"/>
    <hyperlink ref="D2583" r:id="rId1296" display="http://www.plants.usda.gov/java/profile?symbol=LOSPC"/>
    <hyperlink ref="D2584" r:id="rId1297" display="http://www.plants.usda.gov/java/profile?symbol=LOSPH"/>
    <hyperlink ref="D2586" r:id="rId1298" display="http://www.plants.usda.gov/java/profile?symbol=LOSPL"/>
    <hyperlink ref="D2588" r:id="rId1299" display="http://www.plants.usda.gov/java/profile?symbol=LOSPS4"/>
    <hyperlink ref="D2592" r:id="rId1300" display="http://www.plants.usda.gov/java/profile?symbol=LOFO"/>
    <hyperlink ref="D2593" r:id="rId1301" display="http://www.plants.usda.gov/java/profile?symbol=LOFOD"/>
    <hyperlink ref="D2597" r:id="rId1302" display="http://www.plants.usda.gov/java/profile?symbol=LOFOF2"/>
    <hyperlink ref="D2600" r:id="rId1303" display="http://www.plants.usda.gov/java/profile?symbol=LOOR"/>
    <hyperlink ref="D2602" r:id="rId1304" display="http://www.plants.usda.gov/java/profile?symbol=LOUN"/>
    <hyperlink ref="D2603" r:id="rId1305" display="http://www.plants.usda.gov/java/profile?symbol=LOUNU"/>
    <hyperlink ref="D2610" r:id="rId1306" display="http://www.plants.usda.gov/java/profile?symbol=LUAL2"/>
    <hyperlink ref="D2614" r:id="rId1307" display="http://www.plants.usda.gov/java/profile?symbol=LUPA"/>
    <hyperlink ref="D2619" r:id="rId1308" display="http://www.plants.usda.gov/java/profile?symbol=LUPE5"/>
    <hyperlink ref="D2620" r:id="rId1309" display="http://www.plants.usda.gov/java/profile?symbol=LUPEG2"/>
    <hyperlink ref="D2625" r:id="rId1310" display="http://www.plants.usda.gov/java/profile?symbol=LUPO"/>
    <hyperlink ref="D2626" r:id="rId1311" display="http://www.plants.usda.gov/java/profile?symbol=LUPE3"/>
    <hyperlink ref="D2627" r:id="rId1312" display="http://www.plants.usda.gov/java/profile?symbol=LUPEP"/>
    <hyperlink ref="D2628" r:id="rId1313" display="http://www.plants.usda.gov/java/profile?symbol=LUPEO2"/>
    <hyperlink ref="D2629" r:id="rId1314" display="http://www.plants.usda.gov/java/profile?symbol=LYIN2"/>
    <hyperlink ref="D2632" r:id="rId1315" display="http://www.plants.usda.gov/java/profile?symbol=LYCL"/>
    <hyperlink ref="D2636" r:id="rId1316" display="http://www.plants.usda.gov/java/profile?symbol=LYDE"/>
    <hyperlink ref="D2639" r:id="rId1317" display="http://www.plants.usda.gov/java/profile?symbol=LYDI3"/>
    <hyperlink ref="D2645" r:id="rId1318" display="http://www.plants.usda.gov/java/profile?symbol=LYAM"/>
    <hyperlink ref="D2649" r:id="rId1319" display="http://www.plants.usda.gov/java/profile?symbol=LYAS"/>
    <hyperlink ref="D2653" r:id="rId1320" display="http://www.plants.usda.gov/java/profile?symbol=LYSH2"/>
    <hyperlink ref="D2654" r:id="rId1321" display="http://www.plants.usda.gov/java/profile?symbol=LYUN"/>
    <hyperlink ref="D2655" r:id="rId1322" display="http://www.plants.usda.gov/java/profile?symbol=LYUNU2"/>
    <hyperlink ref="D2657" r:id="rId1323" display="http://www.plants.usda.gov/java/profile?symbol=LYVI4"/>
    <hyperlink ref="D2658" r:id="rId1324" display="http://www.plants.usda.gov/java/profile?symbol=LYJU"/>
    <hyperlink ref="D2659" r:id="rId1325" display="http://www.plants.usda.gov/java/profile?symbol=LYCI"/>
    <hyperlink ref="D2662" r:id="rId1326" display="http://www.plants.usda.gov/java/profile?symbol=LYHY"/>
    <hyperlink ref="D2669" r:id="rId1327" display="http://www.plants.usda.gov/java/profile?symbol=LYLA"/>
    <hyperlink ref="D2673" r:id="rId1328" display="http://www.plants.usda.gov/java/profile?symbol=LYQU"/>
    <hyperlink ref="D2676" r:id="rId1329" display="http://www.plants.usda.gov/java/profile?symbol=LYTE2"/>
    <hyperlink ref="D2678" r:id="rId1330" display="http://www.plants.usda.gov/java/profile?symbol=LYTH2"/>
    <hyperlink ref="D2680" r:id="rId1331" display="http://www.plants.usda.gov/java/profile?symbol=LYAL4"/>
    <hyperlink ref="D2681" r:id="rId1332" display="http://www.plants.usda.gov/java/profile?symbol=LYALA4"/>
    <hyperlink ref="D2683" r:id="rId1333" display="http://www.plants.usda.gov/java/profile?symbol=MACA2"/>
    <hyperlink ref="D2684" r:id="rId1334" display="http://www.plants.usda.gov/java/profile?symbol=MACAC"/>
    <hyperlink ref="D2685" r:id="rId1335" display="http://www.plants.usda.gov/java/profile?symbol=MACAC3"/>
    <hyperlink ref="D2719" r:id="rId1336" display="http://www.plants.usda.gov/java/profile?symbol=MAPI"/>
    <hyperlink ref="D2720" r:id="rId1337" display="http://www.plants.usda.gov/java/profile?symbol=MAPIP"/>
    <hyperlink ref="D2721" r:id="rId1338" display="http://www.plants.usda.gov/java/profile?symbol=MAPIG3"/>
    <hyperlink ref="D2726" r:id="rId1339" display="http://www.plants.usda.gov/java/profile?symbol=MAPIP4"/>
    <hyperlink ref="D2756" r:id="rId1340" display="http://www.plants.usda.gov/java/profile?symbol=MAGL2"/>
    <hyperlink ref="D2757" r:id="rId1341" display="http://www.plants.usda.gov/java/profile?symbol=MASA"/>
    <hyperlink ref="D2761" r:id="rId1342" display="http://www.plants.usda.gov/java/profile?symbol=MACA4"/>
    <hyperlink ref="D2765" r:id="rId1343" display="http://www.plants.usda.gov/java/profile?symbol=MARA7"/>
    <hyperlink ref="D2766" r:id="rId1344" display="http://www.plants.usda.gov/java/profile?symbol=MARAR"/>
    <hyperlink ref="D2776" r:id="rId1345" display="http://www.plants.usda.gov/java/profile?symbol=MAST4"/>
    <hyperlink ref="D2788" r:id="rId1346" display="http://www.plants.usda.gov/java/profile?symbol=MAUN"/>
    <hyperlink ref="D2790" r:id="rId1347" display="http://www.plants.usda.gov/java/profile?symbol=MAHI"/>
    <hyperlink ref="D2795" r:id="rId1348" display="http://www.plants.usda.gov/java/profile?symbol=MAQU"/>
    <hyperlink ref="D2796" r:id="rId1349" display="http://www.plants.usda.gov/java/profile?symbol=MAVE2"/>
    <hyperlink ref="D2805" r:id="rId1350" display="http://www.plants.usda.gov/java/profile?symbol=MAST"/>
    <hyperlink ref="D2813" r:id="rId1351" display="http://www.plants.usda.gov/java/profile?symbol=MEAR4"/>
    <hyperlink ref="D2825" r:id="rId1352" display="http://www.plants.usda.gov/java/profile?symbol=MEPI"/>
    <hyperlink ref="D2829" r:id="rId1353" display="http://www.plants.usda.gov/java/profile?symbol=MEDE2"/>
    <hyperlink ref="D2831" r:id="rId1354" display="http://www.plants.usda.gov/java/profile?symbol=METR3"/>
    <hyperlink ref="D2833" r:id="rId1355" display="http://www.plants.usda.gov/java/profile?symbol=MEPA"/>
    <hyperlink ref="D2834" r:id="rId1356" display="http://www.plants.usda.gov/java/profile?symbol=MEPAP"/>
    <hyperlink ref="D2837" r:id="rId1357" display="http://www.plants.usda.gov/java/profile?symbol=MEVI3"/>
    <hyperlink ref="D2838" r:id="rId1358" display="http://www.plants.usda.gov/java/profile?symbol=MINU6"/>
    <hyperlink ref="D2842" r:id="rId1359" display="http://www.plants.usda.gov/java/profile?symbol=MIAL2"/>
    <hyperlink ref="D2843" r:id="rId1360" display="http://www.plants.usda.gov/java/profile?symbol=MIGL"/>
    <hyperlink ref="D2844" r:id="rId1361" display="http://www.plants.usda.gov/java/profile?symbol=MIGLJ"/>
    <hyperlink ref="D2851" r:id="rId1362" display="http://www.plants.usda.gov/java/profile?symbol=MIRI"/>
    <hyperlink ref="D2852" r:id="rId1363" display="http://www.plants.usda.gov/java/profile?symbol=MIRIR"/>
    <hyperlink ref="D2857" r:id="rId1364" display="http://www.plants.usda.gov/java/profile?symbol=MIMI2"/>
    <hyperlink ref="D2858" r:id="rId1365" display="http://www.plants.usda.gov/java/profile?symbol=MIMIM"/>
    <hyperlink ref="D2868" r:id="rId1366" display="http://www.plants.usda.gov/java/profile?symbol=MIAL4"/>
    <hyperlink ref="D2891" r:id="rId1367" display="http://www.plants.usda.gov/java/profile?symbol=MIHI"/>
    <hyperlink ref="D2894" r:id="rId1368" display="http://www.plants.usda.gov/java/profile?symbol=MINY"/>
    <hyperlink ref="D2898" r:id="rId1369" display="http://www.plants.usda.gov/java/profile?symbol=MIRE"/>
    <hyperlink ref="D2899" r:id="rId1370" display="http://www.plants.usda.gov/java/profile?symbol=MIDI3"/>
    <hyperlink ref="D2901" r:id="rId1371" display="http://www.plants.usda.gov/java/profile?symbol=MINU3"/>
    <hyperlink ref="D2902" r:id="rId1372" display="http://www.plants.usda.gov/java/profile?symbol=MOLA6"/>
    <hyperlink ref="D2906" r:id="rId1373" display="http://www.plants.usda.gov/java/profile?symbol=MOVE"/>
    <hyperlink ref="D2908" r:id="rId1374" display="http://www.plants.usda.gov/java/profile?symbol=MOBR2"/>
    <hyperlink ref="D2912" r:id="rId1375" display="http://www.plants.usda.gov/java/profile?symbol=MODI"/>
    <hyperlink ref="D2913" r:id="rId1376" display="http://www.plants.usda.gov/java/profile?symbol=MOFI"/>
    <hyperlink ref="D2914" r:id="rId1377" display="http://www.plants.usda.gov/java/profile?symbol=MOFIF"/>
    <hyperlink ref="D2915" r:id="rId1378" display="http://www.plants.usda.gov/java/profile?symbol=MOFIF2"/>
    <hyperlink ref="D2916" r:id="rId1379" display="http://www.plants.usda.gov/java/profile?symbol=MOFIM2"/>
    <hyperlink ref="D2918" r:id="rId1380" display="http://www.plants.usda.gov/java/profile?symbol=MOFIM3"/>
    <hyperlink ref="D2921" r:id="rId1381" display="http://www.plants.usda.gov/java/profile?symbol=MOPU"/>
    <hyperlink ref="D2922" r:id="rId1382" display="http://www.plants.usda.gov/java/profile?symbol=MOPUP"/>
    <hyperlink ref="D2923" r:id="rId1383" display="http://www.plants.usda.gov/java/profile?symbol=MOPUV"/>
    <hyperlink ref="D2925" r:id="rId1384" display="http://www.plants.usda.gov/java/profile?symbol=MONU"/>
    <hyperlink ref="D2926" r:id="rId1385" display="http://www.plants.usda.gov/java/profile?symbol=MOHY3"/>
    <hyperlink ref="D2939" r:id="rId1386" display="http://www.plants.usda.gov/java/profile?symbol=MOUN3"/>
    <hyperlink ref="D2941" r:id="rId1387" display="http://www.plants.usda.gov/java/profile?symbol=MOCH"/>
    <hyperlink ref="D2944" r:id="rId1388" display="http://www.plants.usda.gov/java/profile?symbol=MYVE"/>
    <hyperlink ref="D2946" r:id="rId1389" display="http://www.plants.usda.gov/java/profile?symbol=MYMI2"/>
    <hyperlink ref="D2957" r:id="rId1390" display="http://www.plants.usda.gov/java/profile?symbol=MYHE2"/>
    <hyperlink ref="D2958" r:id="rId1391" display="http://www.plants.usda.gov/java/profile?symbol=MYPI"/>
    <hyperlink ref="D2962" r:id="rId1392" display="http://www.plants.usda.gov/java/profile?symbol=MYSI"/>
    <hyperlink ref="D2971" r:id="rId1393" display="http://www.plants.usda.gov/java/profile?symbol=MYVE3"/>
    <hyperlink ref="D2975" r:id="rId1394" display="http://www.plants.usda.gov/java/profile?symbol=NAFL"/>
    <hyperlink ref="D2981" r:id="rId1395" display="http://www.plants.usda.gov/java/profile?symbol=NAGR"/>
    <hyperlink ref="D2983" r:id="rId1396" display="http://www.plants.usda.gov/java/profile?symbol=NAGU"/>
    <hyperlink ref="D2984" r:id="rId1397" display="http://www.plants.usda.gov/java/profile?symbol=NAGUG"/>
    <hyperlink ref="D2986" r:id="rId1398" display="http://www.plants.usda.gov/java/profile?symbol=NAGUO2"/>
    <hyperlink ref="D2989" r:id="rId1399" display="http://www.plants.usda.gov/java/profile?symbol=NAMA"/>
    <hyperlink ref="D2994" r:id="rId1400" display="http://www.plants.usda.gov/java/profile?symbol=NADI2"/>
    <hyperlink ref="D2995" r:id="rId1401" display="http://www.plants.usda.gov/java/profile?symbol=NAIN2"/>
    <hyperlink ref="D2996" r:id="rId1402" display="http://www.plants.usda.gov/java/profile?symbol=NAINP3"/>
    <hyperlink ref="D3000" r:id="rId1403" display="http://www.plants.usda.gov/java/profile?symbol=NELU"/>
    <hyperlink ref="D3003" r:id="rId1404" display="http://www.plants.usda.gov/java/profile?symbol=NEAQ2"/>
    <hyperlink ref="D3009" r:id="rId1405" display="http://www.plants.usda.gov/java/profile?symbol=NOCU"/>
    <hyperlink ref="D3012" r:id="rId1406" display="http://www.plants.usda.gov/java/profile?symbol=NULU"/>
    <hyperlink ref="D3013" r:id="rId1407" display="http://www.plants.usda.gov/java/profile?symbol=NULUV"/>
    <hyperlink ref="D3017" r:id="rId1408" display="http://www.plants.usda.gov/java/profile?symbol=NUCA"/>
    <hyperlink ref="D3019" r:id="rId1409" display="http://www.plants.usda.gov/java/profile?symbol=NYOD"/>
    <hyperlink ref="D3020" r:id="rId1410" display="http://www.plants.usda.gov/java/profile?symbol=NYODO"/>
    <hyperlink ref="D3032" r:id="rId1411" display="http://www.plants.usda.gov/java/profile?symbol=NYODT"/>
    <hyperlink ref="D3036" r:id="rId1412" display="http://www.plants.usda.gov/java/profile?symbol=OEBI"/>
    <hyperlink ref="D3042" r:id="rId1413" display="http://www.plants.usda.gov/java/profile?symbol=OECL3"/>
    <hyperlink ref="D3044" r:id="rId1414" display="http://www.plants.usda.gov/java/profile?symbol=OELA"/>
    <hyperlink ref="D3046" r:id="rId1415" display="http://www.plants.usda.gov/java/profile?symbol=OEPA5"/>
    <hyperlink ref="D3052" r:id="rId1416" display="http://www.plants.usda.gov/java/profile?symbol=OEPE"/>
    <hyperlink ref="D3057" r:id="rId1417" display="http://www.plants.usda.gov/java/profile?symbol=OEPI2"/>
    <hyperlink ref="D3058" r:id="rId1418" display="http://www.plants.usda.gov/java/profile?symbol=OEPIP"/>
    <hyperlink ref="D3061" r:id="rId1419" display="http://www.plants.usda.gov/java/profile?symbol=OERH"/>
    <hyperlink ref="D3064" r:id="rId1420" display="http://www.plants.usda.gov/java/profile?symbol=OESP2"/>
    <hyperlink ref="D3068" r:id="rId1421" display="http://www.plants.usda.gov/java/profile?symbol=OEVI"/>
    <hyperlink ref="D3069" r:id="rId1422" display="http://www.plants.usda.gov/java/profile?symbol=OEVIV"/>
    <hyperlink ref="D3076" r:id="rId1423" display="http://www.plants.usda.gov/java/profile?symbol=OLAL2"/>
    <hyperlink ref="D3084" r:id="rId1424" display="http://www.plants.usda.gov/java/profile?symbol=OLRI2"/>
    <hyperlink ref="D3086" r:id="rId1425" display="http://www.plants.usda.gov/java/profile?symbol=OLRI"/>
    <hyperlink ref="D3087" r:id="rId1426" display="http://www.plants.usda.gov/java/profile?symbol=OLRIH"/>
    <hyperlink ref="D3095" r:id="rId1427" display="http://www.plants.usda.gov/java/profile?symbol=OLRIR"/>
    <hyperlink ref="D3099" r:id="rId1428" display="http://www.plants.usda.gov/java/profile?symbol=ONSE"/>
    <hyperlink ref="D3100" r:id="rId1429" display="http://www.plants.usda.gov/java/profile?symbol=ONBE"/>
    <hyperlink ref="D3101" r:id="rId1430" display="http://www.plants.usda.gov/java/profile?symbol=ONBEH"/>
    <hyperlink ref="D3107" r:id="rId1431" display="http://www.plants.usda.gov/java/profile?symbol=ONBEO"/>
    <hyperlink ref="D3112" r:id="rId1432" display="http://www.plants.usda.gov/java/profile?symbol=OPPU3"/>
    <hyperlink ref="D3116" r:id="rId1433" display="http://www.plants.usda.gov/java/profile?symbol=ORON"/>
    <hyperlink ref="D3118" r:id="rId1434" display="http://www.plants.usda.gov/java/profile?symbol=ORFA"/>
    <hyperlink ref="D3127" r:id="rId1435" display="http://www.plants.usda.gov/java/profile?symbol=ORLU"/>
    <hyperlink ref="D3128" r:id="rId1436" display="http://www.plants.usda.gov/java/profile?symbol=ORLUL2"/>
    <hyperlink ref="D3135" r:id="rId1437" display="http://www.plants.usda.gov/java/profile?symbol=ORUN"/>
    <hyperlink ref="D3149" r:id="rId1438" display="http://www.plants.usda.gov/java/profile?symbol=OSCL"/>
    <hyperlink ref="D3152" r:id="rId1439" display="http://www.plants.usda.gov/java/profile?symbol=OSLO"/>
    <hyperlink ref="D3158" r:id="rId1440" display="http://www.plants.usda.gov/java/profile?symbol=OSCI"/>
    <hyperlink ref="D3159" r:id="rId1441" display="http://www.plants.usda.gov/java/profile?symbol=OSCIC"/>
    <hyperlink ref="D3162" r:id="rId1442" display="http://www.plants.usda.gov/java/profile?symbol=OSCL2"/>
    <hyperlink ref="D3163" r:id="rId1443" display="http://www.plants.usda.gov/java/profile?symbol=OSRE"/>
    <hyperlink ref="D3164" r:id="rId1444" display="http://www.plants.usda.gov/java/profile?symbol=OSRES"/>
    <hyperlink ref="D3165" r:id="rId1445" display="http://www.plants.usda.gov/java/profile?symbol=OXAL"/>
    <hyperlink ref="D3166" r:id="rId1446" display="http://www.plants.usda.gov/java/profile?symbol=OXALA"/>
    <hyperlink ref="D3174" r:id="rId1447" display="http://www.plants.usda.gov/java/profile?symbol=OXDI2"/>
    <hyperlink ref="D3190" r:id="rId1448" display="http://www.plants.usda.gov/java/profile?symbol=OXST"/>
    <hyperlink ref="D3215" r:id="rId1449" display="http://www.plants.usda.gov/java/profile?symbol=OXVI"/>
    <hyperlink ref="D3219" r:id="rId1450" display="http://www.plants.usda.gov/java/profile?symbol=OXRI"/>
    <hyperlink ref="D3224" r:id="rId1451" display="http://www.plants.usda.gov/java/profile?symbol=OXLA3"/>
    <hyperlink ref="D3225" r:id="rId1452" display="http://www.plants.usda.gov/java/profile?symbol=OXLAL2"/>
    <hyperlink ref="D3227" r:id="rId1453" display="http://www.plants.usda.gov/java/profile?symbol=PAAU3"/>
    <hyperlink ref="D3233" r:id="rId1454" display="http://www.plants.usda.gov/java/profile?symbol=PAGL17"/>
    <hyperlink ref="D3236" r:id="rId1455" display="http://www.plants.usda.gov/java/profile?symbol=PAPA20"/>
    <hyperlink ref="D3249" r:id="rId1456" display="http://www.plants.usda.gov/java/profile?symbol=PAPL12"/>
    <hyperlink ref="D3252" r:id="rId1457" display="http://www.plants.usda.gov/java/profile?symbol=PAPS5"/>
    <hyperlink ref="D3253" r:id="rId1458" display="http://www.plants.usda.gov/java/profile?symbol=PAPSS"/>
    <hyperlink ref="D3258" r:id="rId1459" display="http://www.plants.usda.gov/java/profile?symbol=PAQU"/>
    <hyperlink ref="D3259" r:id="rId1460" display="http://www.plants.usda.gov/java/profile?symbol=PAPE5"/>
    <hyperlink ref="D3263" r:id="rId1461" display="http://www.plants.usda.gov/java/profile?symbol=PAGL3"/>
    <hyperlink ref="D3265" r:id="rId1462" display="http://www.plants.usda.gov/java/profile?symbol=PACA11"/>
    <hyperlink ref="D3269" r:id="rId1463" display="http://www.plants.usda.gov/java/profile?symbol=PAFA3"/>
    <hyperlink ref="D3270" r:id="rId1464" display="http://www.plants.usda.gov/java/profile?symbol=PAFAF"/>
    <hyperlink ref="D3273" r:id="rId1465" display="http://www.plants.usda.gov/java/profile?symbol=PAIN3"/>
    <hyperlink ref="D3274" r:id="rId1466" display="http://www.plants.usda.gov/java/profile?symbol=PAINI"/>
    <hyperlink ref="D3276" r:id="rId1467" display="http://www.plants.usda.gov/java/profile?symbol=PECA"/>
    <hyperlink ref="D3277" r:id="rId1468" display="http://www.plants.usda.gov/java/profile?symbol=PECAC3"/>
    <hyperlink ref="D3280" r:id="rId1469" display="http://www.plants.usda.gov/java/profile?symbol=PELA2"/>
    <hyperlink ref="D3284" r:id="rId1470" display="http://www.plants.usda.gov/java/profile?symbol=PEAR6"/>
    <hyperlink ref="D3288" r:id="rId1471" display="http://www.plants.usda.gov/java/profile?symbol=PEES"/>
    <hyperlink ref="D3290" r:id="rId1472" display="http://www.plants.usda.gov/java/profile?symbol=PEAT2"/>
    <hyperlink ref="D3291" r:id="rId1473" display="http://www.plants.usda.gov/java/profile?symbol=PEGL"/>
    <hyperlink ref="D3292" r:id="rId1474" display="http://www.plants.usda.gov/java/profile?symbol=PEGLG"/>
    <hyperlink ref="D3294" r:id="rId1475" display="http://www.plants.usda.gov/java/profile?symbol=PEVI"/>
    <hyperlink ref="D3296" r:id="rId1476" display="http://www.plants.usda.gov/java/profile?symbol=PEAL2"/>
    <hyperlink ref="D3297" r:id="rId1477" display="http://www.plants.usda.gov/java/profile?symbol=PECO4"/>
    <hyperlink ref="D3301" r:id="rId1478" display="http://www.plants.usda.gov/java/profile?symbol=PEDI"/>
    <hyperlink ref="D3304" r:id="rId1479" display="http://www.plants.usda.gov/java/profile?symbol=PEGR5"/>
    <hyperlink ref="D3305" r:id="rId1480" display="http://www.plants.usda.gov/java/profile?symbol=PEGRG3"/>
    <hyperlink ref="D3307" r:id="rId1481" display="http://www.plants.usda.gov/java/profile?symbol=PEGR7"/>
    <hyperlink ref="D3309" r:id="rId1482" display="http://www.plants.usda.gov/java/profile?symbol=PEPA7"/>
    <hyperlink ref="D3312" r:id="rId1483" display="http://www.plants.usda.gov/java/profile?symbol=PETU"/>
    <hyperlink ref="D3313" r:id="rId1484" display="http://www.plants.usda.gov/java/profile?symbol=PETUT"/>
    <hyperlink ref="D3314" r:id="rId1485" display="http://www.plants.usda.gov/java/profile?symbol=PESE6"/>
    <hyperlink ref="D3315" r:id="rId1486" display="http://www.plants.usda.gov/java/profile?symbol=PHBI2"/>
    <hyperlink ref="D3318" r:id="rId1487" display="http://www.plants.usda.gov/java/profile?symbol=PHPO2"/>
    <hyperlink ref="D3319" r:id="rId1488" display="http://www.plants.usda.gov/java/profile?symbol=PHPOP"/>
    <hyperlink ref="D3322" r:id="rId1489" display="http://www.plants.usda.gov/java/profile?symbol=PHCO24"/>
    <hyperlink ref="D3327" r:id="rId1490" display="http://www.plants.usda.gov/java/profile?symbol=PHHE11"/>
    <hyperlink ref="D3330" r:id="rId1491" display="http://www.plants.usda.gov/java/profile?symbol=PHPA29"/>
    <hyperlink ref="D3333" r:id="rId1492" display="http://www.plants.usda.gov/java/profile?symbol=PHRU8"/>
    <hyperlink ref="D3335" r:id="rId1493" display="http://www.plants.usda.gov/java/profile?symbol=PHDI5"/>
    <hyperlink ref="D3336" r:id="rId1494" display="http://www.plants.usda.gov/java/profile?symbol=PHDIL6"/>
    <hyperlink ref="D3338" r:id="rId1495" display="http://www.plants.usda.gov/java/profile?symbol=PHMA4"/>
    <hyperlink ref="D3339" r:id="rId1496" display="http://www.plants.usda.gov/java/profile?symbol=PHMAM"/>
    <hyperlink ref="D3341" r:id="rId1497" display="http://www.plants.usda.gov/java/profile?symbol=PHPA9"/>
    <hyperlink ref="D3342" r:id="rId1498" display="http://www.plants.usda.gov/java/profile?symbol=PHPI"/>
    <hyperlink ref="D3343" r:id="rId1499" display="http://www.plants.usda.gov/java/profile?symbol=PHPIF2"/>
    <hyperlink ref="D3345" r:id="rId1500" display="http://www.plants.usda.gov/java/profile?symbol=PHPIP2"/>
    <hyperlink ref="D3349" r:id="rId1501" display="http://www.plants.usda.gov/java/profile?symbol=PHSU3"/>
    <hyperlink ref="D3350" r:id="rId1502" display="http://www.plants.usda.gov/java/profile?symbol=PHSUS2"/>
    <hyperlink ref="D3351" r:id="rId1503" display="http://www.plants.usda.gov/java/profile?symbol=PHLE5"/>
    <hyperlink ref="D3353" r:id="rId1504" display="http://www.plants.usda.gov/java/profile?symbol=PHLA3"/>
    <hyperlink ref="D3357" r:id="rId1505" display="http://www.plants.usda.gov/java/profile?symbol=PHGR22"/>
    <hyperlink ref="D3360" r:id="rId1506" display="http://www.plants.usda.gov/java/profile?symbol=PHHE5"/>
    <hyperlink ref="D3361" r:id="rId1507" display="http://www.plants.usda.gov/java/profile?symbol=PHHEH3"/>
    <hyperlink ref="D3369" r:id="rId1508" display="http://www.plants.usda.gov/java/profile?symbol=PHHI8"/>
    <hyperlink ref="D3374" r:id="rId1509" display="http://www.plants.usda.gov/java/profile?symbol=PHLO4"/>
    <hyperlink ref="D3375" r:id="rId1510" display="http://www.plants.usda.gov/java/profile?symbol=PHLOL3"/>
    <hyperlink ref="D3379" r:id="rId1511" display="http://www.plants.usda.gov/java/profile?symbol=PHLOS"/>
    <hyperlink ref="D3383" r:id="rId1512" display="http://www.plants.usda.gov/java/profile?symbol=PHPU7"/>
    <hyperlink ref="D3384" r:id="rId1513" display="http://www.plants.usda.gov/java/profile?symbol=PHPUI"/>
    <hyperlink ref="D3386" r:id="rId1514" display="http://www.plants.usda.gov/java/profile?symbol=PHPUP4"/>
    <hyperlink ref="D3389" r:id="rId1515" display="http://www.plants.usda.gov/java/profile?symbol=PHPU8"/>
    <hyperlink ref="D3390" r:id="rId1516" display="http://www.plants.usda.gov/java/profile?symbol=PHVI5"/>
    <hyperlink ref="D3391" r:id="rId1517" display="http://www.plants.usda.gov/java/profile?symbol=PHVIV3"/>
    <hyperlink ref="D3395" r:id="rId1518" display="http://www.plants.usda.gov/java/profile?symbol=PHPA10"/>
    <hyperlink ref="D3399" r:id="rId1519" display="http://www.plants.usda.gov/java/profile?symbol=PHVI8"/>
    <hyperlink ref="D3400" r:id="rId1520" display="http://www.plants.usda.gov/java/profile?symbol=PHVIP2"/>
    <hyperlink ref="D3405" r:id="rId1521" display="http://www.plants.usda.gov/java/profile?symbol=PHVIV"/>
    <hyperlink ref="D3416" r:id="rId1522" display="http://www.plants.usda.gov/java/profile?symbol=PHAM4"/>
    <hyperlink ref="D3417" r:id="rId1523" display="http://www.plants.usda.gov/java/profile?symbol=PHAMA3"/>
    <hyperlink ref="D3419" r:id="rId1524" display="http://www.plants.usda.gov/java/profile?symbol=PIFO"/>
    <hyperlink ref="D3422" r:id="rId1525" display="http://www.plants.usda.gov/java/profile?symbol=PIPU2"/>
    <hyperlink ref="D3423" r:id="rId1526" display="http://www.plants.usda.gov/java/profile?symbol=PIPUD"/>
    <hyperlink ref="D3424" r:id="rId1527" display="http://www.plants.usda.gov/java/profile?symbol=PIPUP"/>
    <hyperlink ref="D3427" r:id="rId1528" display="http://www.plants.usda.gov/java/profile?symbol=PLAR3"/>
    <hyperlink ref="D3430" r:id="rId1529" display="http://www.plants.usda.gov/java/profile?symbol=PLCO2"/>
    <hyperlink ref="D3431" r:id="rId1530" display="http://www.plants.usda.gov/java/profile?symbol=PLER"/>
    <hyperlink ref="D3433" r:id="rId1531" display="http://www.plants.usda.gov/java/profile?symbol=PLPA2"/>
    <hyperlink ref="D3446" r:id="rId1532" display="http://www.plants.usda.gov/java/profile?symbol=PLRU"/>
    <hyperlink ref="D3447" r:id="rId1533" display="http://www.plants.usda.gov/java/profile?symbol=PLRUR"/>
    <hyperlink ref="D3448" r:id="rId1534" display="http://www.plants.usda.gov/java/profile?symbol=PLVI"/>
    <hyperlink ref="D3450" r:id="rId1535" display="http://www.plants.usda.gov/java/profile?symbol=PLAQ2"/>
    <hyperlink ref="D3453" r:id="rId1536" display="http://www.plants.usda.gov/java/profile?symbol=PLCL"/>
    <hyperlink ref="D3458" r:id="rId1537" display="http://www.plants.usda.gov/java/profile?symbol=PLDI3"/>
    <hyperlink ref="D3459" r:id="rId1538" display="http://www.plants.usda.gov/java/profile?symbol=PLDID"/>
    <hyperlink ref="D3463" r:id="rId1539" display="http://www.plants.usda.gov/java/profile?symbol=PLFL"/>
    <hyperlink ref="D3464" r:id="rId1540" display="http://www.plants.usda.gov/java/profile?symbol=PLFLH"/>
    <hyperlink ref="D3467" r:id="rId1541" display="http://www.plants.usda.gov/java/profile?symbol=PLHO3"/>
    <hyperlink ref="D3471" r:id="rId1542" display="http://www.plants.usda.gov/java/profile?symbol=PLHU2"/>
    <hyperlink ref="D3476" r:id="rId1543" display="http://www.plants.usda.gov/java/profile?symbol=PLLA2"/>
    <hyperlink ref="D3479" r:id="rId1544" display="http://www.plants.usda.gov/java/profile?symbol=PLLE2"/>
    <hyperlink ref="D3482" r:id="rId1545" display="http://www.plants.usda.gov/java/profile?symbol=PLPR4"/>
    <hyperlink ref="D3484" r:id="rId1546" display="http://www.plants.usda.gov/java/profile?symbol=PLPS2"/>
    <hyperlink ref="D3487" r:id="rId1547" display="http://www.plants.usda.gov/java/profile?symbol=POPE"/>
    <hyperlink ref="D3488" r:id="rId1548" display="http://www.plants.usda.gov/java/profile?symbol=PODO3"/>
    <hyperlink ref="D3489" r:id="rId1549" display="http://www.plants.usda.gov/java/profile?symbol=PODOD"/>
    <hyperlink ref="D3491" r:id="rId1550" display="http://www.plants.usda.gov/java/profile?symbol=PODOT"/>
    <hyperlink ref="D3494" r:id="rId1551" display="http://www.plants.usda.gov/java/profile?symbol=POJA3"/>
    <hyperlink ref="D3496" r:id="rId1552" display="http://www.plants.usda.gov/java/profile?symbol=PORE2"/>
    <hyperlink ref="D3497" r:id="rId1553" display="http://www.plants.usda.gov/java/profile?symbol=PORER"/>
    <hyperlink ref="D3498" r:id="rId1554" display="http://www.plants.usda.gov/java/profile?symbol=POCR"/>
    <hyperlink ref="D3499" r:id="rId1555" display="http://www.plants.usda.gov/java/profile?symbol=POCRA"/>
    <hyperlink ref="D3500" r:id="rId1556" display="http://www.plants.usda.gov/java/profile?symbol=POIN4"/>
    <hyperlink ref="D3502" r:id="rId1557" display="http://www.plants.usda.gov/java/profile?symbol=POPO"/>
    <hyperlink ref="D3506" r:id="rId1558" display="http://www.plants.usda.gov/java/profile?symbol=POSA3"/>
    <hyperlink ref="D3508" r:id="rId1559" display="http://www.plants.usda.gov/java/profile?symbol=POSE3"/>
    <hyperlink ref="D3510" r:id="rId1560" display="http://www.plants.usda.gov/java/profile?symbol=POVE"/>
    <hyperlink ref="D3511" r:id="rId1561" display="http://www.plants.usda.gov/java/profile?symbol=POVEI"/>
    <hyperlink ref="D3513" r:id="rId1562" display="http://www.plants.usda.gov/java/profile?symbol=POBI2"/>
    <hyperlink ref="D3514" r:id="rId1563" display="http://www.plants.usda.gov/java/profile?symbol=POBIC"/>
    <hyperlink ref="D3518" r:id="rId1564" display="http://www.plants.usda.gov/java/profile?symbol=POPU4"/>
    <hyperlink ref="D3520" r:id="rId1565" display="http://www.plants.usda.gov/java/profile?symbol=POAR4"/>
    <hyperlink ref="D3523" r:id="rId1566" display="http://www.plants.usda.gov/java/profile?symbol=POAC3"/>
    <hyperlink ref="D3525" r:id="rId1567" display="http://www.plants.usda.gov/java/profile?symbol=POAM8"/>
    <hyperlink ref="D3526" r:id="rId1568" display="http://www.plants.usda.gov/java/profile?symbol=POAME"/>
    <hyperlink ref="D3537" r:id="rId1569" display="http://www.plants.usda.gov/java/profile?symbol=POAMS"/>
    <hyperlink ref="D3548" r:id="rId1570" display="http://www.plants.usda.gov/java/profile?symbol=POBE"/>
    <hyperlink ref="D3553" r:id="rId1571" display="http://www.plants.usda.gov/java/profile?symbol=POBU2"/>
    <hyperlink ref="D3556" r:id="rId1572" display="http://www.plants.usda.gov/java/profile?symbol=PODO4"/>
    <hyperlink ref="D3557" r:id="rId1573" display="http://www.plants.usda.gov/java/profile?symbol=PODOD4"/>
    <hyperlink ref="D3562" r:id="rId1574" display="http://www.plants.usda.gov/java/profile?symbol=POER2"/>
    <hyperlink ref="D3564" r:id="rId1575" display="http://www.plants.usda.gov/java/profile?symbol=POHY2"/>
    <hyperlink ref="D3584" r:id="rId1576" display="http://www.plants.usda.gov/java/profile?symbol=POLA4"/>
    <hyperlink ref="D3601" r:id="rId1577" display="http://www.plants.usda.gov/java/profile?symbol=POPE2"/>
    <hyperlink ref="D3618" r:id="rId1578" display="http://www.plants.usda.gov/java/profile?symbol=POPU5"/>
    <hyperlink ref="D3619" r:id="rId1579" display="http://www.plants.usda.gov/java/profile?symbol=POPUC2"/>
    <hyperlink ref="D3623" r:id="rId1580" display="http://www.plants.usda.gov/java/profile?symbol=POPUP4"/>
    <hyperlink ref="D3630" r:id="rId1581" display="http://www.plants.usda.gov/java/profile?symbol=PORA3"/>
    <hyperlink ref="D3631" r:id="rId1582" display="http://www.plants.usda.gov/java/profile?symbol=PORAR"/>
    <hyperlink ref="D3638" r:id="rId1583" display="http://www.plants.usda.gov/java/profile?symbol=POSA5"/>
    <hyperlink ref="D3644" r:id="rId1584" display="http://www.plants.usda.gov/java/profile?symbol=POSC3"/>
    <hyperlink ref="D3645" r:id="rId1585" display="http://www.plants.usda.gov/java/profile?symbol=POSCC"/>
    <hyperlink ref="D3651" r:id="rId1586" display="http://www.plants.usda.gov/java/profile?symbol=POSCD"/>
    <hyperlink ref="D3656" r:id="rId1587" display="http://www.plants.usda.gov/java/profile?symbol=POTE2"/>
    <hyperlink ref="D3658" r:id="rId1588" display="http://www.plants.usda.gov/java/profile?symbol=POVI2"/>
    <hyperlink ref="D3664" r:id="rId1589" display="http://www.plants.usda.gov/java/profile?symbol=POCA11"/>
    <hyperlink ref="D3667" r:id="rId1590" display="http://www.plants.usda.gov/java/profile?symbol=POVI7"/>
    <hyperlink ref="D3670" r:id="rId1591" display="http://www.plants.usda.gov/java/profile?symbol=POAC4"/>
    <hyperlink ref="D3671" r:id="rId1592" display="http://www.plants.usda.gov/java/profile?symbol=POACA"/>
    <hyperlink ref="D3673" r:id="rId1593" display="http://www.plants.usda.gov/java/profile?symbol=PONU4"/>
    <hyperlink ref="D3675" r:id="rId1594" display="http://www.plants.usda.gov/java/profile?symbol=POCO14"/>
    <hyperlink ref="D3680" r:id="rId1595" display="http://www.plants.usda.gov/java/profile?symbol=POOL"/>
    <hyperlink ref="D3689" r:id="rId1596" display="http://www.plants.usda.gov/java/profile?symbol=POAM5"/>
    <hyperlink ref="D3690" r:id="rId1597" display="http://www.plants.usda.gov/java/profile?symbol=PODI"/>
    <hyperlink ref="D3694" r:id="rId1598" display="http://www.plants.usda.gov/java/profile?symbol=POEP2"/>
    <hyperlink ref="D3698" r:id="rId1599" display="http://www.plants.usda.gov/java/profile?symbol=POFO3"/>
    <hyperlink ref="D3699" r:id="rId1600" display="http://www.plants.usda.gov/java/profile?symbol=POFOF4"/>
    <hyperlink ref="D3704" r:id="rId1601" display="http://www.plants.usda.gov/java/profile?symbol=POFR3"/>
    <hyperlink ref="D3705" r:id="rId1602" display="http://www.plants.usda.gov/java/profile?symbol=POGR8"/>
    <hyperlink ref="D3710" r:id="rId1603" display="http://www.plants.usda.gov/java/profile?symbol=POIL"/>
    <hyperlink ref="D3714" r:id="rId1604" display="http://www.plants.usda.gov/java/profile?symbol=PONA4"/>
    <hyperlink ref="D3715" r:id="rId1605" display="http://www.plants.usda.gov/java/profile?symbol=PONO2"/>
    <hyperlink ref="D3718" r:id="rId1606" display="http://www.plants.usda.gov/java/profile?symbol=POPR5"/>
    <hyperlink ref="D3720" r:id="rId1607" display="http://www.plants.usda.gov/java/profile?symbol=POPU7"/>
    <hyperlink ref="D3721" r:id="rId1608" display="http://www.plants.usda.gov/java/profile?symbol=POPUP5"/>
    <hyperlink ref="D3728" r:id="rId1609" display="http://www.plants.usda.gov/java/profile?symbol=POPUT3"/>
    <hyperlink ref="D3738" r:id="rId1610" display="http://www.plants.usda.gov/java/profile?symbol=PORI2"/>
    <hyperlink ref="D3741" r:id="rId1611" display="http://www.plants.usda.gov/java/profile?symbol=POSP4"/>
    <hyperlink ref="D3743" r:id="rId1612" display="http://www.plants.usda.gov/java/profile?symbol=POSP3"/>
    <hyperlink ref="D3745" r:id="rId1613" display="http://www.plants.usda.gov/java/profile?symbol=POST2"/>
    <hyperlink ref="D3751" r:id="rId1614" display="http://www.plants.usda.gov/java/profile?symbol=POVA3"/>
    <hyperlink ref="D3753" r:id="rId1615" display="http://www.plants.usda.gov/java/profile?symbol=POZO"/>
    <hyperlink ref="D3756" r:id="rId1616" display="http://www.plants.usda.gov/java/profile?symbol=POAR7"/>
    <hyperlink ref="D3757" r:id="rId1617" display="http://www.plants.usda.gov/java/profile?symbol=POARA4"/>
    <hyperlink ref="D3761" r:id="rId1618" display="http://www.plants.usda.gov/java/profile?symbol=POCA17"/>
    <hyperlink ref="D3762" r:id="rId1619" display="http://www.plants.usda.gov/java/profile?symbol=POCAC2"/>
    <hyperlink ref="D3765" r:id="rId1620" display="http://www.plants.usda.gov/java/profile?symbol=PONO3"/>
    <hyperlink ref="D3766" r:id="rId1621" display="http://www.plants.usda.gov/java/profile?symbol=PONOM"/>
    <hyperlink ref="D3771" r:id="rId1622" display="http://www.plants.usda.gov/java/profile?symbol=POPA15"/>
    <hyperlink ref="D3774" r:id="rId1623" display="http://www.plants.usda.gov/java/profile?symbol=POPE8"/>
    <hyperlink ref="D3775" r:id="rId1624" display="http://www.plants.usda.gov/java/profile?symbol=POPEP5"/>
    <hyperlink ref="D3786" r:id="rId1625" display="http://www.plants.usda.gov/java/profile?symbol=PORI3"/>
    <hyperlink ref="D3793" r:id="rId1626" display="http://www.plants.usda.gov/java/profile?symbol=POSI2"/>
    <hyperlink ref="D3797" r:id="rId1627" display="http://www.plants.usda.gov/java/profile?symbol=PRAL2"/>
    <hyperlink ref="D3799" r:id="rId1628" display="http://www.plants.usda.gov/java/profile?symbol=PRAS"/>
    <hyperlink ref="D3801" r:id="rId1629" display="http://www.plants.usda.gov/java/profile?symbol=PRRA"/>
    <hyperlink ref="D3802" r:id="rId1630" display="http://www.plants.usda.gov/java/profile?symbol=PRRAM2"/>
    <hyperlink ref="D3804" r:id="rId1631" display="http://www.plants.usda.gov/java/profile?symbol=PRRAR3"/>
    <hyperlink ref="D3808" r:id="rId1632" display="http://www.plants.usda.gov/java/profile?symbol=PRMI"/>
    <hyperlink ref="D3812" r:id="rId1633" display="http://www.plants.usda.gov/java/profile?symbol=PRLO"/>
    <hyperlink ref="D3814" r:id="rId1634" display="http://www.plants.usda.gov/java/profile?symbol=PRLOL"/>
    <hyperlink ref="D3819" r:id="rId1635" display="http://www.plants.usda.gov/java/profile?symbol=PRPA3"/>
    <hyperlink ref="D3820" r:id="rId1636" display="http://www.plants.usda.gov/java/profile?symbol=PRPAC"/>
    <hyperlink ref="D3821" r:id="rId1637" display="http://www.plants.usda.gov/java/profile?symbol=PRVU"/>
    <hyperlink ref="D3822" r:id="rId1638" display="http://www.plants.usda.gov/java/profile?symbol=PRVUL2"/>
    <hyperlink ref="D3825" r:id="rId1639" display="http://www.plants.usda.gov/java/profile?symbol=PRVUV"/>
    <hyperlink ref="D3835" r:id="rId1640" display="http://www.plants.usda.gov/java/profile?symbol=PSOB3"/>
    <hyperlink ref="D3836" r:id="rId1641" display="http://www.plants.usda.gov/java/profile?symbol=PSOBO"/>
    <hyperlink ref="D3838" r:id="rId1642" display="http://www.plants.usda.gov/java/profile?symbol=PSLA3"/>
    <hyperlink ref="D3850" r:id="rId1643" display="http://www.plants.usda.gov/java/profile?symbol=PSTE5"/>
    <hyperlink ref="D3857" r:id="rId1644" display="http://www.plants.usda.gov/java/profile?symbol=PTAQ"/>
    <hyperlink ref="D3858" r:id="rId1645" display="http://www.plants.usda.gov/java/profile?symbol=PTAQL"/>
    <hyperlink ref="D3860" r:id="rId1646" display="http://www.plants.usda.gov/java/profile?symbol=PUPA5"/>
    <hyperlink ref="D3861" r:id="rId1647" display="http://www.plants.usda.gov/java/profile?symbol=PUPAM"/>
    <hyperlink ref="D3872" r:id="rId1648" display="http://www.plants.usda.gov/java/profile?symbol=PYTE"/>
    <hyperlink ref="D3875" r:id="rId1649" display="http://www.plants.usda.gov/java/profile?symbol=PYVE"/>
    <hyperlink ref="D3876" r:id="rId1650" display="http://www.plants.usda.gov/java/profile?symbol=PYVEP"/>
    <hyperlink ref="D3879" r:id="rId1651" display="http://www.plants.usda.gov/java/profile?symbol=PYVI"/>
    <hyperlink ref="D3881" r:id="rId1652" display="http://www.plants.usda.gov/java/profile?symbol=PYCA2"/>
    <hyperlink ref="D3885" r:id="rId1653" display="http://www.plants.usda.gov/java/profile?symbol=RAAB"/>
    <hyperlink ref="D3891" r:id="rId1654" display="http://www.plants.usda.gov/java/profile?symbol=RAAC3"/>
    <hyperlink ref="D3892" r:id="rId1655" display="http://www.plants.usda.gov/java/profile?symbol=RAACA3"/>
    <hyperlink ref="D3899" r:id="rId1656" display="http://www.plants.usda.gov/java/profile?symbol=RACY"/>
    <hyperlink ref="D3907" r:id="rId1657" display="http://www.plants.usda.gov/java/profile?symbol=RAFA"/>
    <hyperlink ref="D3910" r:id="rId1658" display="http://www.plants.usda.gov/java/profile?symbol=RAFL"/>
    <hyperlink ref="D3912" r:id="rId1659" display="http://www.plants.usda.gov/java/profile?symbol=RAGM"/>
    <hyperlink ref="D3923" r:id="rId1660" display="http://www.plants.usda.gov/java/profile?symbol=RAHI"/>
    <hyperlink ref="D3924" r:id="rId1661" display="http://www.plants.usda.gov/java/profile?symbol=RAHIC"/>
    <hyperlink ref="D3928" r:id="rId1662" display="http://www.plants.usda.gov/java/profile?symbol=RAHIN"/>
    <hyperlink ref="D3936" r:id="rId1663" display="http://www.plants.usda.gov/java/profile?symbol=RALO2"/>
    <hyperlink ref="D3948" r:id="rId1664" display="http://www.plants.usda.gov/java/profile?symbol=RAMA2"/>
    <hyperlink ref="D3950" r:id="rId1665" display="http://www.plants.usda.gov/java/profile?symbol=RAPE2"/>
    <hyperlink ref="D3951" r:id="rId1666" display="http://www.plants.usda.gov/java/profile?symbol=RARE2"/>
    <hyperlink ref="D3952" r:id="rId1667" display="http://www.plants.usda.gov/java/profile?symbol=RARER2"/>
    <hyperlink ref="D3955" r:id="rId1668" display="http://www.plants.usda.gov/java/profile?symbol=RARH"/>
    <hyperlink ref="D3957" r:id="rId1669" display="http://www.plants.usda.gov/java/profile?symbol=RASC3"/>
    <hyperlink ref="D3958" r:id="rId1670" display="http://www.plants.usda.gov/java/profile?symbol=RASCM"/>
    <hyperlink ref="D3960" r:id="rId1671" display="http://www.plants.usda.gov/java/profile?symbol=RASCS"/>
    <hyperlink ref="D3963" r:id="rId1672" display="http://www.plants.usda.gov/java/profile?symbol=RATR"/>
    <hyperlink ref="D3964" r:id="rId1673" display="http://www.plants.usda.gov/java/profile?symbol=RATRT"/>
    <hyperlink ref="D3978" r:id="rId1674" display="http://www.plants.usda.gov/java/profile?symbol=RACO3"/>
    <hyperlink ref="D3985" r:id="rId1675" display="http://www.plants.usda.gov/java/profile?symbol=RAPI"/>
    <hyperlink ref="D3988" r:id="rId1676" display="http://www.plants.usda.gov/java/profile?symbol=RHVI"/>
    <hyperlink ref="D3992" r:id="rId1677" display="http://www.plants.usda.gov/java/profile?symbol=ROPA2"/>
    <hyperlink ref="D3993" r:id="rId1678" display="http://www.plants.usda.gov/java/profile?symbol=ROPAF2"/>
    <hyperlink ref="D4004" r:id="rId1679" display="http://www.plants.usda.gov/java/profile?symbol=ROPAH"/>
    <hyperlink ref="D4010" r:id="rId1680" display="http://www.plants.usda.gov/java/profile?symbol=ROSE"/>
    <hyperlink ref="D4013" r:id="rId1681" display="http://www.plants.usda.gov/java/profile?symbol=ROSI2"/>
    <hyperlink ref="D4016" r:id="rId1682" display="http://www.plants.usda.gov/java/profile?symbol=RORA"/>
    <hyperlink ref="D4021" r:id="rId1683" display="http://www.plants.usda.gov/java/profile?symbol=RUPU"/>
    <hyperlink ref="D4022" r:id="rId1684" display="http://www.plants.usda.gov/java/profile?symbol=RUPUP2"/>
    <hyperlink ref="D4025" r:id="rId1685" display="http://www.plants.usda.gov/java/profile?symbol=RUHI2"/>
    <hyperlink ref="D4026" r:id="rId1686" display="http://www.plants.usda.gov/java/profile?symbol=RUHIP"/>
    <hyperlink ref="D4038" r:id="rId1687" display="http://www.plants.usda.gov/java/profile?symbol=RULA3"/>
    <hyperlink ref="D4039" r:id="rId1688" display="http://www.plants.usda.gov/java/profile?symbol=RULAL"/>
    <hyperlink ref="D4041" r:id="rId1689" display="http://www.plants.usda.gov/java/profile?symbol=RUSU"/>
    <hyperlink ref="D4042" r:id="rId1690" display="http://www.plants.usda.gov/java/profile?symbol=RUTR2"/>
    <hyperlink ref="D4043" r:id="rId1691" display="http://www.plants.usda.gov/java/profile?symbol=RUTRT"/>
    <hyperlink ref="D4044" r:id="rId1692" display="http://www.plants.usda.gov/java/profile?symbol=RUHU"/>
    <hyperlink ref="D4051" r:id="rId1693" display="http://www.plants.usda.gov/java/profile?symbol=RUST2"/>
    <hyperlink ref="D4056" r:id="rId1694" display="http://www.plants.usda.gov/java/profile?symbol=RUAL4"/>
    <hyperlink ref="D4060" r:id="rId1695" display="http://www.plants.usda.gov/java/profile?symbol=RUAQ"/>
    <hyperlink ref="D4061" r:id="rId1696" display="http://www.plants.usda.gov/java/profile?symbol=RUAQF"/>
    <hyperlink ref="D4070" r:id="rId1697" display="http://www.plants.usda.gov/java/profile?symbol=RUMA4"/>
    <hyperlink ref="D4077" r:id="rId1698" display="http://www.plants.usda.gov/java/profile?symbol=RUOR2"/>
    <hyperlink ref="D4078" r:id="rId1699" display="http://www.plants.usda.gov/java/profile?symbol=RUORB"/>
    <hyperlink ref="D4080" r:id="rId1700" display="http://www.plants.usda.gov/java/profile?symbol=RUORO"/>
    <hyperlink ref="D4081" r:id="rId1701" display="http://www.plants.usda.gov/java/profile?symbol=RUSA"/>
    <hyperlink ref="D4082" r:id="rId1702" display="http://www.plants.usda.gov/java/profile?symbol=RUSAM"/>
    <hyperlink ref="D4092" r:id="rId1703" display="http://www.plants.usda.gov/java/profile?symbol=RUVE2"/>
    <hyperlink ref="D4093" r:id="rId1704" display="http://www.plants.usda.gov/java/profile?symbol=RUVE3"/>
    <hyperlink ref="D4096" r:id="rId1705" display="http://www.plants.usda.gov/java/profile?symbol=RUCI2"/>
    <hyperlink ref="D4102" r:id="rId1706" display="http://www.plants.usda.gov/java/profile?symbol=SACA3"/>
    <hyperlink ref="D4103" r:id="rId1707" display="http://www.plants.usda.gov/java/profile?symbol=SAPR"/>
    <hyperlink ref="D4105" r:id="rId1708" display="http://www.plants.usda.gov/java/profile?symbol=SAAU2"/>
    <hyperlink ref="D4109" r:id="rId1709" display="http://www.plants.usda.gov/java/profile?symbol=SABR8"/>
    <hyperlink ref="D4111" r:id="rId1710" display="http://www.plants.usda.gov/java/profile?symbol=SACA21"/>
    <hyperlink ref="D4112" r:id="rId1711" display="http://www.plants.usda.gov/java/profile?symbol=SACAC"/>
    <hyperlink ref="D4117" r:id="rId1712" display="http://www.plants.usda.gov/java/profile?symbol=SACR4"/>
    <hyperlink ref="D4119" r:id="rId1713" display="http://www.plants.usda.gov/java/profile?symbol=SACU"/>
    <hyperlink ref="D4121" r:id="rId1714" display="http://www.plants.usda.gov/java/profile?symbol=SAGR"/>
    <hyperlink ref="D4122" r:id="rId1715" display="http://www.plants.usda.gov/java/profile?symbol=SAGRG"/>
    <hyperlink ref="D4125" r:id="rId1716" display="http://www.plants.usda.gov/java/profile?symbol=SALA2"/>
    <hyperlink ref="D4138" r:id="rId1717" display="http://www.plants.usda.gov/java/profile?symbol=SARI"/>
    <hyperlink ref="D4139" r:id="rId1718" display="http://www.plants.usda.gov/java/profile?symbol=SARU"/>
    <hyperlink ref="D4142" r:id="rId1719" display="http://www.plants.usda.gov/java/profile?symbol=SAAZ"/>
    <hyperlink ref="D4143" r:id="rId1720" display="http://www.plants.usda.gov/java/profile?symbol=SAAZG"/>
    <hyperlink ref="D4147" r:id="rId1721" display="http://www.plants.usda.gov/java/profile?symbol=SARE3"/>
    <hyperlink ref="D4149" r:id="rId1722" display="http://www.plants.usda.gov/java/profile?symbol=SACA13"/>
    <hyperlink ref="D4151" r:id="rId1723" display="http://www.plants.usda.gov/java/profile?symbol=SAAN2"/>
    <hyperlink ref="D4154" r:id="rId1724" display="http://www.plants.usda.gov/java/profile?symbol=SACA15"/>
    <hyperlink ref="D4155" r:id="rId1725" display="http://www.plants.usda.gov/java/profile?symbol=SACAC2"/>
    <hyperlink ref="D4159" r:id="rId1726" display="http://www.plants.usda.gov/java/profile?symbol=SACAG2"/>
    <hyperlink ref="D4160" r:id="rId1727" display="http://www.plants.usda.gov/java/profile?symbol=SAMA2"/>
    <hyperlink ref="D4162" r:id="rId1728" display="http://www.plants.usda.gov/java/profile?symbol=SAOD"/>
    <hyperlink ref="D4165" r:id="rId1729" display="http://www.plants.usda.gov/java/profile?symbol=SATR4"/>
    <hyperlink ref="D4166" r:id="rId1730" display="http://www.plants.usda.gov/java/profile?symbol=SAPE8"/>
    <hyperlink ref="D4173" r:id="rId1731" display="http://www.plants.usda.gov/java/profile?symbol=SCPA2"/>
    <hyperlink ref="D4174" r:id="rId1732" display="http://www.plants.usda.gov/java/profile?symbol=SCPAA3"/>
    <hyperlink ref="D4177" r:id="rId1733" display="http://www.plants.usda.gov/java/profile?symbol=SCLA"/>
    <hyperlink ref="D4181" r:id="rId1734" display="http://www.plants.usda.gov/java/profile?symbol=SCMA2"/>
    <hyperlink ref="D4182" r:id="rId1735" display="http://www.plants.usda.gov/java/profile?symbol=SCGA"/>
    <hyperlink ref="D4187" r:id="rId1736" display="http://www.plants.usda.gov/java/profile?symbol=SCIN"/>
    <hyperlink ref="D4188" r:id="rId1737" display="http://www.plants.usda.gov/java/profile?symbol=SCINI2"/>
    <hyperlink ref="D4189" r:id="rId1738" display="http://www.plants.usda.gov/java/profile?symbol=SCLA2"/>
    <hyperlink ref="D4190" r:id="rId1739" display="http://www.plants.usda.gov/java/profile?symbol=SCLAL2"/>
    <hyperlink ref="D4191" r:id="rId1740" display="http://www.plants.usda.gov/java/profile?symbol=SCNE2"/>
    <hyperlink ref="D4193" r:id="rId1741" display="http://www.plants.usda.gov/java/profile?symbol=SCOV"/>
    <hyperlink ref="D4194" r:id="rId1742" display="http://www.plants.usda.gov/java/profile?symbol=SCOVO"/>
    <hyperlink ref="D4202" r:id="rId1743" display="http://www.plants.usda.gov/java/profile?symbol=SCPA7"/>
    <hyperlink ref="D4203" r:id="rId1744" display="http://www.plants.usda.gov/java/profile?symbol=SCPAM"/>
    <hyperlink ref="D4208" r:id="rId1745" display="http://www.plants.usda.gov/java/profile?symbol=SCPAP3"/>
    <hyperlink ref="D4209" r:id="rId1746" display="http://www.plants.usda.gov/java/profile?symbol=SETE3"/>
    <hyperlink ref="D4211" r:id="rId1747" display="http://www.plants.usda.gov/java/profile?symbol=SEEC"/>
    <hyperlink ref="D4212" r:id="rId1748" display="http://www.plants.usda.gov/java/profile?symbol=SERU"/>
    <hyperlink ref="D4214" r:id="rId1749" display="http://www.plants.usda.gov/java/profile?symbol=SECO2"/>
    <hyperlink ref="D4220" r:id="rId1750" display="http://www.plants.usda.gov/java/profile?symbol=SEIN2"/>
    <hyperlink ref="D4221" r:id="rId1751" display="http://www.plants.usda.gov/java/profile?symbol=SEINI"/>
    <hyperlink ref="D4222" r:id="rId1752" display="http://www.plants.usda.gov/java/profile?symbol=SEMA11"/>
    <hyperlink ref="D4227" r:id="rId1753" display="http://www.plants.usda.gov/java/profile?symbol=SHRO2"/>
    <hyperlink ref="D4229" r:id="rId1754" display="http://www.plants.usda.gov/java/profile?symbol=SIVI2"/>
    <hyperlink ref="D4233" r:id="rId1755" display="http://www.plants.usda.gov/java/profile?symbol=SITR3"/>
    <hyperlink ref="D4235" r:id="rId1756" display="http://www.plants.usda.gov/java/profile?symbol=SIAN"/>
    <hyperlink ref="D4236" r:id="rId1757" display="http://www.plants.usda.gov/java/profile?symbol=SISP"/>
    <hyperlink ref="D4240" r:id="rId1758" display="http://www.plants.usda.gov/java/profile?symbol=SIAN2"/>
    <hyperlink ref="D4247" r:id="rId1759" display="http://www.plants.usda.gov/java/profile?symbol=SINI"/>
    <hyperlink ref="D4248" r:id="rId1760" display="http://www.plants.usda.gov/java/profile?symbol=SIST"/>
    <hyperlink ref="D4250" r:id="rId1761" display="http://www.plants.usda.gov/java/profile?symbol=SIVI4"/>
    <hyperlink ref="D4251" r:id="rId1762" display="http://www.plants.usda.gov/java/profile?symbol=SIVIV"/>
    <hyperlink ref="D4253" r:id="rId1763" display="http://www.plants.usda.gov/java/profile?symbol=SIIN2"/>
    <hyperlink ref="D4254" r:id="rId1764" display="http://www.plants.usda.gov/java/profile?symbol=SIIND"/>
    <hyperlink ref="D4255" r:id="rId1765" display="http://www.plants.usda.gov/java/profile?symbol=SIINI"/>
    <hyperlink ref="D4257" r:id="rId1766" display="http://www.plants.usda.gov/java/profile?symbol=SIINN"/>
    <hyperlink ref="D4258" r:id="rId1767" display="http://www.plants.usda.gov/java/profile?symbol=SILA3"/>
    <hyperlink ref="D4259" r:id="rId1768" display="http://www.plants.usda.gov/java/profile?symbol=SILAL2"/>
    <hyperlink ref="D4260" r:id="rId1769" display="http://www.plants.usda.gov/java/profile?symbol=SIPE2"/>
    <hyperlink ref="D4261" r:id="rId1770" display="http://www.plants.usda.gov/java/profile?symbol=SIPEP"/>
    <hyperlink ref="D4262" r:id="rId1771" display="http://www.plants.usda.gov/java/profile?symbol=SITE"/>
    <hyperlink ref="D4263" r:id="rId1772" display="http://www.plants.usda.gov/java/profile?symbol=SITET"/>
    <hyperlink ref="D4265" r:id="rId1773" display="http://www.plants.usda.gov/java/profile?symbol=SIAN3"/>
    <hyperlink ref="D4268" r:id="rId1774" display="http://www.plants.usda.gov/java/profile?symbol=SICA9"/>
    <hyperlink ref="D4272" r:id="rId1775" display="http://www.plants.usda.gov/java/profile?symbol=SIMO2"/>
    <hyperlink ref="D4273" r:id="rId1776" display="http://www.plants.usda.gov/java/profile?symbol=SIMOM"/>
    <hyperlink ref="D4276" r:id="rId1777" display="http://www.plants.usda.gov/java/profile?symbol=SISU2"/>
    <hyperlink ref="D4280" r:id="rId1778" display="http://www.plants.usda.gov/java/profile?symbol=SMEC"/>
    <hyperlink ref="D4282" r:id="rId1779" display="http://www.plants.usda.gov/java/profile?symbol=SMHE"/>
    <hyperlink ref="D4284" r:id="rId1780" display="http://www.plants.usda.gov/java/profile?symbol=SMIL"/>
    <hyperlink ref="D4285" r:id="rId1781" display="http://www.plants.usda.gov/java/profile?symbol=SMLA3"/>
    <hyperlink ref="D4288" r:id="rId1782" display="http://www.plants.usda.gov/java/profile?symbol=SOCA3"/>
    <hyperlink ref="D4289" r:id="rId1783" display="http://www.plants.usda.gov/java/profile?symbol=SOCAC4"/>
    <hyperlink ref="D4290" r:id="rId1784" display="http://www.plants.usda.gov/java/profile?symbol=SOCI"/>
    <hyperlink ref="D4291" r:id="rId1785" display="http://www.plants.usda.gov/java/profile?symbol=SOCIC"/>
    <hyperlink ref="D4292" r:id="rId1786" display="http://www.plants.usda.gov/java/profile?symbol=SOIN2"/>
    <hyperlink ref="D4293" r:id="rId1787" display="http://www.plants.usda.gov/java/profile?symbol=SOJA"/>
    <hyperlink ref="D4294" r:id="rId1788" display="http://www.plants.usda.gov/java/profile?symbol=SOPT7"/>
    <hyperlink ref="D4298" r:id="rId1789" display="http://www.plants.usda.gov/java/profile?symbol=SORO"/>
    <hyperlink ref="D4301" r:id="rId1790" display="http://www.plants.usda.gov/java/profile?symbol=SOTR"/>
    <hyperlink ref="D4302" r:id="rId1791" display="http://www.plants.usda.gov/java/profile?symbol=SOAL6"/>
    <hyperlink ref="D4309" r:id="rId1792" display="http://www.plants.usda.gov/java/profile?symbol=SOCA6"/>
    <hyperlink ref="D4310" r:id="rId1793" display="http://www.plants.usda.gov/java/profile?symbol=SOCAC3"/>
    <hyperlink ref="D4311" r:id="rId1794" display="http://www.plants.usda.gov/java/profile?symbol=SOCAG"/>
    <hyperlink ref="D4315" r:id="rId1795" display="http://www.plants.usda.gov/java/profile?symbol=SOCAH"/>
    <hyperlink ref="D4316" r:id="rId1796" display="http://www.plants.usda.gov/java/profile?symbol=SOFL2"/>
    <hyperlink ref="D4318" r:id="rId1797" display="http://www.plants.usda.gov/java/profile?symbol=SOGI"/>
    <hyperlink ref="D4329" r:id="rId1798" display="http://www.plants.usda.gov/java/profile?symbol=SOHI"/>
    <hyperlink ref="D4330" r:id="rId1799" display="http://www.plants.usda.gov/java/profile?symbol=SOHIH"/>
    <hyperlink ref="D4333" r:id="rId1800" display="http://www.plants.usda.gov/java/profile?symbol=SOMI2"/>
    <hyperlink ref="D4334" r:id="rId1801" display="http://www.plants.usda.gov/java/profile?symbol=SOMIF"/>
    <hyperlink ref="D4338" r:id="rId1802" display="http://www.plants.usda.gov/java/profile?symbol=SOMO"/>
    <hyperlink ref="D4339" r:id="rId1803" display="http://www.plants.usda.gov/java/profile?symbol=SOMOM"/>
    <hyperlink ref="D4340" r:id="rId1804" display="http://www.plants.usda.gov/java/profile?symbol=SONE"/>
    <hyperlink ref="D4341" r:id="rId1805" display="http://www.plants.usda.gov/java/profile?symbol=SONEL"/>
    <hyperlink ref="D4348" r:id="rId1806" display="http://www.plants.usda.gov/java/profile?symbol=SONEN"/>
    <hyperlink ref="D4351" r:id="rId1807" display="http://www.plants.usda.gov/java/profile?symbol=SOPA2"/>
    <hyperlink ref="D4352" r:id="rId1808" display="http://www.plants.usda.gov/java/profile?symbol=SOPAP"/>
    <hyperlink ref="D4353" r:id="rId1809" display="http://www.plants.usda.gov/java/profile?symbol=SOSC"/>
    <hyperlink ref="D4354" r:id="rId1810" display="http://www.plants.usda.gov/java/profile?symbol=SOSP2"/>
    <hyperlink ref="D4355" r:id="rId1811" display="http://www.plants.usda.gov/java/profile?symbol=SOSPJ"/>
    <hyperlink ref="D4358" r:id="rId1812" display="http://www.plants.usda.gov/java/profile?symbol=SOSPR"/>
    <hyperlink ref="D4361" r:id="rId1813" display="http://www.plants.usda.gov/java/profile?symbol=SOUL"/>
    <hyperlink ref="D4362" r:id="rId1814" display="http://www.plants.usda.gov/java/profile?symbol=SOULU"/>
    <hyperlink ref="D4366" r:id="rId1815" display="http://www.plants.usda.gov/java/profile?symbol=SOUL2"/>
    <hyperlink ref="D4367" r:id="rId1816" display="http://www.plants.usda.gov/java/profile?symbol=SOULU2"/>
    <hyperlink ref="D4368" r:id="rId1817" display="http://www.plants.usda.gov/java/profile?symbol=SPAM"/>
    <hyperlink ref="D4369" r:id="rId1818" display="http://www.plants.usda.gov/java/profile?symbol=SPAN"/>
    <hyperlink ref="D4371" r:id="rId1819" display="http://www.plants.usda.gov/java/profile?symbol=SPEM2"/>
    <hyperlink ref="D4377" r:id="rId1820" display="http://www.plants.usda.gov/java/profile?symbol=SPEU"/>
    <hyperlink ref="D4380" r:id="rId1821" display="http://www.plants.usda.gov/java/profile?symbol=SPSA5"/>
    <hyperlink ref="D4392" r:id="rId1822" display="http://www.plants.usda.gov/java/profile?symbol=SPIN"/>
    <hyperlink ref="D4395" r:id="rId1823" display="http://www.plants.usda.gov/java/profile?symbol=SPCO"/>
    <hyperlink ref="D4396" r:id="rId1824" display="http://www.plants.usda.gov/java/profile?symbol=SPCOC"/>
    <hyperlink ref="D4400" r:id="rId1825" display="http://www.plants.usda.gov/java/profile?symbol=SPCE"/>
    <hyperlink ref="D4403" r:id="rId1826" display="http://www.plants.usda.gov/java/profile?symbol=SPLA4"/>
    <hyperlink ref="D4404" r:id="rId1827" display="http://www.plants.usda.gov/java/profile?symbol=SPLAG"/>
    <hyperlink ref="D4409" r:id="rId1828" display="http://www.plants.usda.gov/java/profile?symbol=SPLAL"/>
    <hyperlink ref="D4410" r:id="rId1829" display="http://www.plants.usda.gov/java/profile?symbol=SPLU2"/>
    <hyperlink ref="D4412" r:id="rId1830" display="http://www.plants.usda.gov/java/profile?symbol=SPMA5"/>
    <hyperlink ref="D4413" r:id="rId1831" display="http://www.plants.usda.gov/java/profile?symbol=SPOV"/>
    <hyperlink ref="D4414" r:id="rId1832" display="http://www.plants.usda.gov/java/profile?symbol=SPOVE"/>
    <hyperlink ref="D4415" r:id="rId1833" display="http://www.plants.usda.gov/java/profile?symbol=SPRO"/>
    <hyperlink ref="D4418" r:id="rId1834" display="http://www.plants.usda.gov/java/profile?symbol=SPVE"/>
    <hyperlink ref="D4421" r:id="rId1835" display="http://www.plants.usda.gov/java/profile?symbol=SPPO"/>
    <hyperlink ref="D4425" r:id="rId1836" display="http://www.plants.usda.gov/java/profile?symbol=STAS"/>
    <hyperlink ref="D4430" r:id="rId1837" display="http://www.plants.usda.gov/java/profile?symbol=STPI6"/>
    <hyperlink ref="D4431" r:id="rId1838" display="http://www.plants.usda.gov/java/profile?symbol=STPIA"/>
    <hyperlink ref="D4434" r:id="rId1839" display="http://www.plants.usda.gov/java/profile?symbol=STPIP5"/>
    <hyperlink ref="D4447" r:id="rId1840" display="http://www.plants.usda.gov/java/profile?symbol=STTE"/>
    <hyperlink ref="D4455" r:id="rId1841" display="http://www.plants.usda.gov/java/profile?symbol=STLO"/>
    <hyperlink ref="D4456" r:id="rId1842" display="http://www.plants.usda.gov/java/profile?symbol=STLOL"/>
    <hyperlink ref="D4458" r:id="rId1843" display="http://www.plants.usda.gov/java/profile?symbol=STNI6"/>
    <hyperlink ref="D4459" r:id="rId1844" display="http://www.plants.usda.gov/java/profile?symbol=STNIN"/>
    <hyperlink ref="D4483" r:id="rId1845" display="http://www.plants.usda.gov/java/profile?symbol=STLA16"/>
    <hyperlink ref="D4484" r:id="rId1846" display="http://www.plants.usda.gov/java/profile?symbol=STLAL3"/>
    <hyperlink ref="D4487" r:id="rId1847" display="http://www.plants.usda.gov/java/profile?symbol=STHE9"/>
    <hyperlink ref="D4490" r:id="rId1848" display="http://www.plants.usda.gov/java/profile?symbol=STLE6"/>
    <hyperlink ref="D4493" r:id="rId1849" display="http://www.plants.usda.gov/java/profile?symbol=STFI6"/>
    <hyperlink ref="D4494" r:id="rId1850" display="http://www.plants.usda.gov/java/profile?symbol=STFIO"/>
    <hyperlink ref="D4499" r:id="rId1851" display="http://www.plants.usda.gov/java/profile?symbol=STPE15"/>
    <hyperlink ref="D4503" r:id="rId1852" display="http://www.plants.usda.gov/java/profile?symbol=STPI3"/>
    <hyperlink ref="D4504" r:id="rId1853" display="http://www.plants.usda.gov/java/profile?symbol=STPIP2"/>
    <hyperlink ref="D4507" r:id="rId1854" display="http://www.plants.usda.gov/java/profile?symbol=SUSU3"/>
    <hyperlink ref="D4511" r:id="rId1855" display="http://www.plants.usda.gov/java/profile?symbol=SYAM3"/>
    <hyperlink ref="D4516" r:id="rId1856" display="http://www.plants.usda.gov/java/profile?symbol=SYBO2"/>
    <hyperlink ref="D4522" r:id="rId1857" display="http://www.plants.usda.gov/java/profile?symbol=SYCI2"/>
    <hyperlink ref="D4528" r:id="rId1858" display="http://www.plants.usda.gov/java/profile?symbol=SYCO4"/>
    <hyperlink ref="D4549" r:id="rId1859" display="http://www.plants.usda.gov/java/profile?symbol=SYDR"/>
    <hyperlink ref="D4550" r:id="rId1860" display="http://www.plants.usda.gov/java/profile?symbol=SYDRD"/>
    <hyperlink ref="D4553" r:id="rId1861" display="http://www.plants.usda.gov/java/profile?symbol=SYDU2"/>
    <hyperlink ref="D4554" r:id="rId1862" display="http://www.plants.usda.gov/java/profile?symbol=SYDUS"/>
    <hyperlink ref="D4558" r:id="rId1863" display="http://www.plants.usda.gov/java/profile?symbol=SYER"/>
    <hyperlink ref="D4559" r:id="rId1864" display="http://www.plants.usda.gov/java/profile?symbol=SYERE"/>
    <hyperlink ref="D4570" r:id="rId1865" display="http://www.plants.usda.gov/java/profile?symbol=SYFA"/>
    <hyperlink ref="D4571" r:id="rId1866" display="http://www.plants.usda.gov/java/profile?symbol=SYFAC"/>
    <hyperlink ref="D4585" r:id="rId1867" display="http://www.plants.usda.gov/java/profile?symbol=SYFI4"/>
    <hyperlink ref="D4587" r:id="rId1868" display="http://www.plants.usda.gov/java/profile?symbol=SYLA3"/>
    <hyperlink ref="D4588" r:id="rId1869" display="http://www.plants.usda.gov/java/profile?symbol=SYLAL3"/>
    <hyperlink ref="D4593" r:id="rId1870" display="http://www.plants.usda.gov/java/profile?symbol=SYLA6"/>
    <hyperlink ref="D4594" r:id="rId1871" display="http://www.plants.usda.gov/java/profile?symbol=SYLAH"/>
    <hyperlink ref="D4595" r:id="rId1872" display="http://www.plants.usda.gov/java/profile?symbol=SYLAH6"/>
    <hyperlink ref="D4604" r:id="rId1873" display="http://www.plants.usda.gov/java/profile?symbol=SYLAL6"/>
    <hyperlink ref="D4605" r:id="rId1874" display="http://www.plants.usda.gov/java/profile?symbol=SYLAH7"/>
    <hyperlink ref="D4607" r:id="rId1875" display="http://www.plants.usda.gov/java/profile?symbol=SYLAI3"/>
    <hyperlink ref="D4613" r:id="rId1876" display="http://www.plants.usda.gov/java/profile?symbol=SYLAL4"/>
    <hyperlink ref="D4627" r:id="rId1877" display="http://www.plants.usda.gov/java/profile?symbol=SYLAL5"/>
    <hyperlink ref="D4629" r:id="rId1878" display="http://www.plants.usda.gov/java/profile?symbol=SYLA4"/>
    <hyperlink ref="D4630" r:id="rId1879" display="http://www.plants.usda.gov/java/profile?symbol=SYLAL7"/>
    <hyperlink ref="D4637" r:id="rId1880" display="http://www.plants.usda.gov/java/profile?symbol=SYNO2"/>
    <hyperlink ref="D4641" r:id="rId1881" display="http://www.plants.usda.gov/java/profile?symbol=SYOB"/>
    <hyperlink ref="D4649" r:id="rId1882" display="http://www.plants.usda.gov/java/profile?symbol=SYON2"/>
    <hyperlink ref="D4662" r:id="rId1883" display="http://www.plants.usda.gov/java/profile?symbol=SYOO"/>
    <hyperlink ref="D4663" r:id="rId1884" display="http://www.plants.usda.gov/java/profile?symbol=SYOOO"/>
    <hyperlink ref="D4667" r:id="rId1885" display="http://www.plants.usda.gov/java/profile?symbol=SYPA10"/>
    <hyperlink ref="D4672" r:id="rId1886" display="http://www.plants.usda.gov/java/profile?symbol=SYPI2"/>
    <hyperlink ref="D4673" r:id="rId1887" display="http://www.plants.usda.gov/java/profile?symbol=SYPIP3"/>
    <hyperlink ref="D4681" r:id="rId1888" display="http://www.plants.usda.gov/java/profile?symbol=SYPR5"/>
    <hyperlink ref="D4682" r:id="rId1889" display="http://www.plants.usda.gov/java/profile?symbol=SYPRN"/>
    <hyperlink ref="D4685" r:id="rId1890" display="http://www.plants.usda.gov/java/profile?symbol=SYPRP"/>
    <hyperlink ref="D4696" r:id="rId1891" display="http://www.plants.usda.gov/java/profile?symbol=SYPRS"/>
    <hyperlink ref="D4699" r:id="rId1892" display="http://www.plants.usda.gov/java/profile?symbol=SYPR6"/>
    <hyperlink ref="D4701" r:id="rId1893" display="http://www.plants.usda.gov/java/profile?symbol=SYPU"/>
    <hyperlink ref="D4702" r:id="rId1894" display="http://www.plants.usda.gov/java/profile?symbol=SYPUP"/>
    <hyperlink ref="D4720" r:id="rId1895" display="http://www.plants.usda.gov/java/profile?symbol=SYSE2"/>
    <hyperlink ref="D4724" r:id="rId1896" display="http://www.plants.usda.gov/java/profile?symbol=SYSH"/>
    <hyperlink ref="D4727" r:id="rId1897" display="http://www.plants.usda.gov/java/profile?symbol=SYTU2"/>
    <hyperlink ref="D4729" r:id="rId1898" display="http://www.plants.usda.gov/java/profile?symbol=SYUR"/>
    <hyperlink ref="D4734" r:id="rId1899" display="http://www.plants.usda.gov/java/profile?symbol=SYWO3"/>
    <hyperlink ref="D4737" r:id="rId1900" display="http://www.plants.usda.gov/java/profile?symbol=SYFO"/>
    <hyperlink ref="D4739" r:id="rId1901" display="http://www.plants.usda.gov/java/profile?symbol=TAIN"/>
    <hyperlink ref="D4740" r:id="rId1902" display="http://www.plants.usda.gov/java/profile?symbol=TAOF"/>
    <hyperlink ref="D4741" r:id="rId1903" display="http://www.plants.usda.gov/java/profile?symbol=TEVI"/>
    <hyperlink ref="D4747" r:id="rId1904" display="http://www.plants.usda.gov/java/profile?symbol=TECA3"/>
    <hyperlink ref="D4748" r:id="rId1905" display="http://www.plants.usda.gov/java/profile?symbol=TECAC"/>
    <hyperlink ref="D4753" r:id="rId1906" display="http://www.plants.usda.gov/java/profile?symbol=TECAO"/>
    <hyperlink ref="D4760" r:id="rId1907" display="http://www.plants.usda.gov/java/profile?symbol=THDA"/>
    <hyperlink ref="D4763" r:id="rId1908" display="http://www.plants.usda.gov/java/profile?symbol=THDI"/>
    <hyperlink ref="D4764" r:id="rId1909" display="http://www.plants.usda.gov/java/profile?symbol=THRE"/>
    <hyperlink ref="D4766" r:id="rId1910" display="http://www.plants.usda.gov/java/profile?symbol=THTH2"/>
    <hyperlink ref="D4769" r:id="rId1911" display="http://www.plants.usda.gov/java/profile?symbol=THBA"/>
    <hyperlink ref="D4772" r:id="rId1912" display="http://www.plants.usda.gov/java/profile?symbol=THPA"/>
    <hyperlink ref="D4773" r:id="rId1913" display="http://www.plants.usda.gov/java/profile?symbol=THPAP"/>
    <hyperlink ref="D4779" r:id="rId1914" display="http://www.plants.usda.gov/java/profile?symbol=THPA7"/>
    <hyperlink ref="D4781" r:id="rId1915" display="http://www.plants.usda.gov/java/profile?symbol=TOAR"/>
    <hyperlink ref="D4782" r:id="rId1916" display="http://www.plants.usda.gov/java/profile?symbol=TOARA"/>
    <hyperlink ref="D4783" r:id="rId1917" display="http://www.plants.usda.gov/java/profile?symbol=TORA2"/>
    <hyperlink ref="D4784" r:id="rId1918" display="http://www.plants.usda.gov/java/profile?symbol=TORAN"/>
    <hyperlink ref="D4786" r:id="rId1919" display="http://www.plants.usda.gov/java/profile?symbol=TORY"/>
    <hyperlink ref="D4792" r:id="rId1920" display="http://www.plants.usda.gov/java/profile?symbol=TRBR"/>
    <hyperlink ref="D4793" r:id="rId1921" display="http://www.plants.usda.gov/java/profile?symbol=TROC"/>
    <hyperlink ref="D4794" r:id="rId1922" display="http://www.plants.usda.gov/java/profile?symbol=TROCO"/>
    <hyperlink ref="D4796" r:id="rId1923" display="http://www.plants.usda.gov/java/profile?symbol=TROH"/>
    <hyperlink ref="D4802" r:id="rId1924" display="http://www.plants.usda.gov/java/profile?symbol=TRVI"/>
    <hyperlink ref="D4810" r:id="rId1925" display="http://www.plants.usda.gov/java/profile?symbol=TRFR"/>
    <hyperlink ref="D4815" r:id="rId1926" display="http://www.plants.usda.gov/java/profile?symbol=TRBR5"/>
    <hyperlink ref="D4819" r:id="rId1927" display="http://www.plants.usda.gov/java/profile?symbol=TRDI2"/>
    <hyperlink ref="D4822" r:id="rId1928" display="http://www.plants.usda.gov/java/profile?symbol=TRRE2"/>
    <hyperlink ref="D4824" r:id="rId1929" display="http://www.plants.usda.gov/java/profile?symbol=TRCE"/>
    <hyperlink ref="D4826" r:id="rId1930" display="http://www.plants.usda.gov/java/profile?symbol=TRFL6"/>
    <hyperlink ref="D4831" r:id="rId1931" display="http://www.plants.usda.gov/java/profile?symbol=TRNI2"/>
    <hyperlink ref="D4832" r:id="rId1932" display="http://www.plants.usda.gov/java/profile?symbol=TRRE5"/>
    <hyperlink ref="D4833" r:id="rId1933" display="http://www.plants.usda.gov/java/profile?symbol=TRLE3"/>
    <hyperlink ref="D4835" r:id="rId1934" display="http://www.plants.usda.gov/java/profile?symbol=TRPE4"/>
    <hyperlink ref="D4839" r:id="rId1935" display="http://www.plants.usda.gov/java/profile?symbol=TRAU4"/>
    <hyperlink ref="D4840" r:id="rId1936" display="http://www.plants.usda.gov/java/profile?symbol=TRAUA"/>
    <hyperlink ref="D4842" r:id="rId1937" display="http://www.plants.usda.gov/java/profile?symbol=TRAUI"/>
    <hyperlink ref="D4845" r:id="rId1938" display="http://www.plants.usda.gov/java/profile?symbol=TRPE5"/>
    <hyperlink ref="D4846" r:id="rId1939" display="http://www.plants.usda.gov/java/profile?symbol=TRTR3"/>
    <hyperlink ref="D4848" r:id="rId1940" display="http://www.plants.usda.gov/java/profile?symbol=TYAN"/>
    <hyperlink ref="D4851" r:id="rId1941" display="http://www.plants.usda.gov/java/profile?symbol=TYGL"/>
    <hyperlink ref="D4852" r:id="rId1942" display="http://www.plants.usda.gov/java/profile?symbol=TYLA"/>
    <hyperlink ref="D4853" r:id="rId1943" display="http://www.plants.usda.gov/java/profile?symbol=URDI"/>
    <hyperlink ref="D4854" r:id="rId1944" display="http://www.plants.usda.gov/java/profile?symbol=URDIG"/>
    <hyperlink ref="D4870" r:id="rId1945" display="http://www.plants.usda.gov/java/profile?symbol=UTGE"/>
    <hyperlink ref="D4871" r:id="rId1946" display="http://www.plants.usda.gov/java/profile?symbol=UTGI"/>
    <hyperlink ref="D4876" r:id="rId1947" display="http://www.plants.usda.gov/java/profile?symbol=UTIN2"/>
    <hyperlink ref="D4877" r:id="rId1948" display="http://www.plants.usda.gov/java/profile?symbol=UTMA"/>
    <hyperlink ref="D4881" r:id="rId1949" display="http://www.plants.usda.gov/java/profile?symbol=UTMI"/>
    <hyperlink ref="D4882" r:id="rId1950" display="http://www.plants.usda.gov/java/profile?symbol=UVGR"/>
    <hyperlink ref="D4883" r:id="rId1951" display="http://www.plants.usda.gov/java/profile?symbol=UVSE"/>
    <hyperlink ref="D4885" r:id="rId1952" display="http://www.plants.usda.gov/java/profile?symbol=VAED"/>
    <hyperlink ref="D4886" r:id="rId1953" display="http://www.plants.usda.gov/java/profile?symbol=VAEDC"/>
    <hyperlink ref="D4889" r:id="rId1954" display="http://www.plants.usda.gov/java/profile?symbol=VAAM3"/>
    <hyperlink ref="D4894" r:id="rId1955" display="http://www.plants.usda.gov/java/profile?symbol=VEVI5"/>
    <hyperlink ref="D4897" r:id="rId1956" display="http://www.plants.usda.gov/java/profile?symbol=VEWO3"/>
    <hyperlink ref="D4900" r:id="rId1957" display="http://www.plants.usda.gov/java/profile?symbol=VEBL2"/>
    <hyperlink ref="D4901" r:id="rId1958" display="http://www.plants.usda.gov/java/profile?symbol=VEBR"/>
    <hyperlink ref="D4904" r:id="rId1959" display="http://www.plants.usda.gov/java/profile?symbol=VEDE2"/>
    <hyperlink ref="D4906" r:id="rId1960" display="http://www.plants.usda.gov/java/profile?symbol=VEEN2"/>
    <hyperlink ref="D4907" r:id="rId1961" display="http://www.plants.usda.gov/java/profile?symbol=VEHA2"/>
    <hyperlink ref="D4908" r:id="rId1962" display="http://www.plants.usda.gov/java/profile?symbol=VEHAH"/>
    <hyperlink ref="D4909" r:id="rId1963" display="http://www.plants.usda.gov/java/profile?symbol=VEHAS"/>
    <hyperlink ref="D4910" r:id="rId1964" display="http://www.plants.usda.gov/java/profile?symbol=VEIL"/>
    <hyperlink ref="D4911" r:id="rId1965" display="http://www.plants.usda.gov/java/profile?symbol=VEMO"/>
    <hyperlink ref="D4912" r:id="rId1966" display="http://www.plants.usda.gov/java/profile?symbol=VEPE4"/>
    <hyperlink ref="D4913" r:id="rId1967" display="http://www.plants.usda.gov/java/profile?symbol=VERY"/>
    <hyperlink ref="D4915" r:id="rId1968" display="http://www.plants.usda.gov/java/profile?symbol=VESI"/>
    <hyperlink ref="D4917" r:id="rId1969" display="http://www.plants.usda.gov/java/profile?symbol=VEST"/>
    <hyperlink ref="D4918" r:id="rId1970" display="http://www.plants.usda.gov/java/profile?symbol=VEUR"/>
    <hyperlink ref="D4919" r:id="rId1971" display="http://www.plants.usda.gov/java/profile?symbol=VEURL"/>
    <hyperlink ref="D4920" r:id="rId1972" display="http://www.plants.usda.gov/java/profile?symbol=VEURU"/>
    <hyperlink ref="D4923" r:id="rId1973" display="http://www.plants.usda.gov/java/profile?symbol=VEAL"/>
    <hyperlink ref="D4926" r:id="rId1974" display="http://www.plants.usda.gov/java/profile?symbol=VEEN"/>
    <hyperlink ref="D4927" r:id="rId1975" display="http://www.plants.usda.gov/java/profile?symbol=VEENE2"/>
    <hyperlink ref="D4932" r:id="rId1976" display="http://www.plants.usda.gov/java/profile?symbol=VEHE"/>
    <hyperlink ref="D4939" r:id="rId1977" display="http://www.plants.usda.gov/java/profile?symbol=VEVI3"/>
    <hyperlink ref="D4940" r:id="rId1978" display="http://www.plants.usda.gov/java/profile?symbol=VEVIV"/>
    <hyperlink ref="D4942" r:id="rId1979" display="http://www.plants.usda.gov/java/profile?symbol=VEBA"/>
    <hyperlink ref="D4943" r:id="rId1980" display="http://www.plants.usda.gov/java/profile?symbol=VEBAI2"/>
    <hyperlink ref="D4945" r:id="rId1981" display="http://www.plants.usda.gov/java/profile?symbol=VEFA2"/>
    <hyperlink ref="D4946" r:id="rId1982" display="http://www.plants.usda.gov/java/profile?symbol=VEFAC"/>
    <hyperlink ref="D4948" r:id="rId1983" display="http://www.plants.usda.gov/java/profile?symbol=VEFAF"/>
    <hyperlink ref="D4949" r:id="rId1984" display="http://www.plants.usda.gov/java/profile?symbol=VEGI"/>
    <hyperlink ref="D4950" r:id="rId1985" display="http://www.plants.usda.gov/java/profile?symbol=VEGIG"/>
    <hyperlink ref="D4954" r:id="rId1986" display="http://www.plants.usda.gov/java/profile?symbol=VEMI2"/>
    <hyperlink ref="D4956" r:id="rId1987" display="http://www.plants.usda.gov/java/profile?symbol=VEAM2"/>
    <hyperlink ref="D4957" r:id="rId1988" display="http://www.plants.usda.gov/java/profile?symbol=VEAN2"/>
    <hyperlink ref="D4973" r:id="rId1989" display="http://www.plants.usda.gov/java/profile?symbol=VEPE2"/>
    <hyperlink ref="D4974" r:id="rId1990" display="http://www.plants.usda.gov/java/profile?symbol=VEPEP"/>
    <hyperlink ref="D4976" r:id="rId1991" display="http://www.plants.usda.gov/java/profile?symbol=VEPEX2"/>
    <hyperlink ref="D4980" r:id="rId1992" display="http://www.plants.usda.gov/java/profile?symbol=VESC2"/>
    <hyperlink ref="D4982" r:id="rId1993" display="http://www.plants.usda.gov/java/profile?symbol=VESE"/>
    <hyperlink ref="D4983" r:id="rId1994" display="http://www.plants.usda.gov/java/profile?symbol=VEVI4"/>
    <hyperlink ref="D4986" r:id="rId1995" display="http://www.plants.usda.gov/java/profile?symbol=VIAM"/>
    <hyperlink ref="D4987" r:id="rId1996" display="http://www.plants.usda.gov/java/profile?symbol=VIAMA3"/>
    <hyperlink ref="D4997" r:id="rId1997" display="http://www.plants.usda.gov/java/profile?symbol=VIAMM3"/>
    <hyperlink ref="D5006" r:id="rId1998" display="http://www.plants.usda.gov/java/profile?symbol=VIAD"/>
    <hyperlink ref="D5007" r:id="rId1999" display="http://www.plants.usda.gov/java/profile?symbol=VIADA"/>
    <hyperlink ref="D5020" r:id="rId2000" display="http://www.plants.usda.gov/java/profile?symbol=VIBE5"/>
    <hyperlink ref="D5025" r:id="rId2001" display="http://www.plants.usda.gov/java/profile?symbol=VIBI"/>
    <hyperlink ref="D5029" r:id="rId2002" display="http://www.plants.usda.gov/java/profile?symbol=VIBL"/>
    <hyperlink ref="D5030" r:id="rId2003" display="http://www.plants.usda.gov/java/profile?symbol=VIBLP"/>
    <hyperlink ref="D5033" r:id="rId2004" display="http://www.plants.usda.gov/java/profile?symbol=VICA4"/>
    <hyperlink ref="D5034" r:id="rId2005" display="http://www.plants.usda.gov/java/profile?symbol=VICAR"/>
    <hyperlink ref="D5038" r:id="rId2006" display="http://www.plants.usda.gov/java/profile?symbol=VICU"/>
    <hyperlink ref="D5041" r:id="rId2007" display="http://www.plants.usda.gov/java/profile?symbol=VILA4"/>
    <hyperlink ref="D5042" r:id="rId2008" display="http://www.plants.usda.gov/java/profile?symbol=VILAL"/>
    <hyperlink ref="D5043" r:id="rId2009" display="http://www.plants.usda.gov/java/profile?symbol=VIMA2"/>
    <hyperlink ref="D5044" r:id="rId2010" display="http://www.plants.usda.gov/java/profile?symbol=VIMAP3"/>
    <hyperlink ref="D5048" r:id="rId2011" display="http://www.plants.usda.gov/java/profile?symbol=VIMI3"/>
    <hyperlink ref="D5050" r:id="rId2012" display="http://www.plants.usda.gov/java/profile?symbol=VINE"/>
    <hyperlink ref="D5056" r:id="rId2013" display="http://www.plants.usda.gov/java/profile?symbol=VIPE"/>
    <hyperlink ref="D5060" r:id="rId2014" display="http://www.plants.usda.gov/java/profile?symbol=VIPE2"/>
    <hyperlink ref="D5062" r:id="rId2015" display="http://www.plants.usda.gov/java/profile?symbol=VIPR4"/>
    <hyperlink ref="D5067" r:id="rId2016" display="http://www.plants.usda.gov/java/profile?symbol=VIPU3"/>
    <hyperlink ref="D5068" r:id="rId2017" display="http://www.plants.usda.gov/java/profile?symbol=VIPUP2"/>
    <hyperlink ref="D5072" r:id="rId2018" display="http://www.plants.usda.gov/java/profile?symbol=VIRE2"/>
    <hyperlink ref="D5074" r:id="rId2019" display="http://www.plants.usda.gov/java/profile?symbol=VISA2"/>
    <hyperlink ref="D5075" r:id="rId2020" display="http://www.plants.usda.gov/java/profile?symbol=VISAO"/>
    <hyperlink ref="D5079" r:id="rId2021" display="http://www.plants.usda.gov/java/profile?symbol=VISAS5"/>
    <hyperlink ref="D5084" r:id="rId2022" display="http://www.plants.usda.gov/java/profile?symbol=VISE5"/>
    <hyperlink ref="D5085" r:id="rId2023" display="http://www.plants.usda.gov/java/profile?symbol=VISO"/>
    <hyperlink ref="D5092" r:id="rId2024" display="http://www.plants.usda.gov/java/profile?symbol=VIST3"/>
    <hyperlink ref="D5093" r:id="rId2025" display="http://www.plants.usda.gov/java/profile?symbol=VISU2"/>
    <hyperlink ref="D5094" r:id="rId2026" display="http://www.plants.usda.gov/java/profile?symbol=VIVI10"/>
    <hyperlink ref="D5096" r:id="rId2027" display="http://www.plants.usda.gov/java/profile?symbol=WOBO"/>
    <hyperlink ref="D5098" r:id="rId2028" display="http://www.plants.usda.gov/java/profile?symbol=WOBR"/>
    <hyperlink ref="D5102" r:id="rId2029" display="http://www.plants.usda.gov/java/profile?symbol=WOCO"/>
    <hyperlink ref="D5104" r:id="rId2030" display="http://www.plants.usda.gov/java/profile?symbol=WOIL"/>
    <hyperlink ref="D5105" r:id="rId2031" display="http://www.plants.usda.gov/java/profile?symbol=WOOB2"/>
    <hyperlink ref="D5106" r:id="rId2032" display="http://www.plants.usda.gov/java/profile?symbol=WOOBO"/>
    <hyperlink ref="D5107" r:id="rId2033" display="http://www.plants.usda.gov/java/profile?symbol=WOOR"/>
    <hyperlink ref="D5108" r:id="rId2034" display="http://www.plants.usda.gov/java/profile?symbol=WOORC2"/>
    <hyperlink ref="D5111" r:id="rId2035" display="http://www.plants.usda.gov/java/profile?symbol=XAST"/>
    <hyperlink ref="D5112" r:id="rId2036" display="http://www.plants.usda.gov/java/profile?symbol=XASTC"/>
    <hyperlink ref="D5134" r:id="rId2037" display="http://www.plants.usda.gov/java/profile?symbol=XASTG"/>
    <hyperlink ref="D5150" r:id="rId2038" display="http://www.plants.usda.gov/java/profile?symbol=XYTO"/>
    <hyperlink ref="D5156" r:id="rId2039" display="http://www.plants.usda.gov/java/profile?symbol=YUGL"/>
    <hyperlink ref="D5157" r:id="rId2040" display="http://www.plants.usda.gov/java/profile?symbol=YUGLG2"/>
    <hyperlink ref="D5159" r:id="rId2041" display="http://www.plants.usda.gov/java/profile?symbol=ZAPA"/>
    <hyperlink ref="D5163" r:id="rId2042" display="http://www.plants.usda.gov/java/profile?symbol=ZIEL2"/>
    <hyperlink ref="D5164" r:id="rId2043" display="http://www.plants.usda.gov/java/profile?symbol=ZIELE"/>
    <hyperlink ref="D5168" r:id="rId2044" display="http://www.plants.usda.gov/java/profile?symbol=ZIELG"/>
    <hyperlink ref="D5172" r:id="rId2045" display="http://www.plants.usda.gov/java/profile?symbol=ZIAP"/>
    <hyperlink ref="D5175" r:id="rId2046" display="http://www.plants.usda.gov/java/profile?symbol=ZIAU"/>
    <hyperlink ref="G2" r:id="rId2047" location="sciname" tooltip="Click on Scientific Name to view more information about Scientific Name. Page opens in a new window." display="sciname"/>
    <hyperlink ref="H2" r:id="rId2048" location="common" tooltip="Click on Common Name to view more information about Common Name. Page opens in a new window." display="http://www.plants.usda.gov/about_adv_search.html - common"/>
    <hyperlink ref="G3" r:id="rId2049" display="http://www.plants.usda.gov/java/profile?symbol=ABBA"/>
    <hyperlink ref="G4" r:id="rId2050" display="http://www.plants.usda.gov/java/profile?symbol=ABBAB"/>
    <hyperlink ref="G6" r:id="rId2051" display="http://www.plants.usda.gov/java/profile?symbol=ACNE2"/>
    <hyperlink ref="G7" r:id="rId2052" display="http://www.plants.usda.gov/java/profile?symbol=ACNEN"/>
    <hyperlink ref="G11" r:id="rId2053" display="http://www.plants.usda.gov/java/profile?symbol=ACNEV"/>
    <hyperlink ref="G13" r:id="rId2054" display="http://www.plants.usda.gov/java/profile?symbol=ACNI5"/>
    <hyperlink ref="G19" r:id="rId2055" display="http://www.plants.usda.gov/java/profile?symbol=ACRU"/>
    <hyperlink ref="G20" r:id="rId2056" display="http://www.plants.usda.gov/java/profile?symbol=ACRUR"/>
    <hyperlink ref="G24" r:id="rId2057" display="http://www.plants.usda.gov/java/profile?symbol=ACSA2"/>
    <hyperlink ref="G29" r:id="rId2058" display="http://www.plants.usda.gov/java/profile?symbol=ACSA3"/>
    <hyperlink ref="G30" r:id="rId2059" display="http://www.plants.usda.gov/java/profile?symbol=ACSAS"/>
    <hyperlink ref="G36" r:id="rId2060" display="http://www.plants.usda.gov/java/profile?symbol=ACSP2"/>
    <hyperlink ref="G37" r:id="rId2061" display="http://www.plants.usda.gov/java/profile?symbol=AEGL"/>
    <hyperlink ref="G38" r:id="rId2062" display="http://www.plants.usda.gov/java/profile?symbol=AEGLA"/>
    <hyperlink ref="G41" r:id="rId2063" display="http://www.plants.usda.gov/java/profile?symbol=AEGLG"/>
    <hyperlink ref="G47" r:id="rId2064" display="http://www.plants.usda.gov/java/profile?symbol=AEMA2"/>
    <hyperlink ref="G48" r:id="rId2065" display="http://www.plants.usda.gov/java/profile?symbol=AGFO"/>
    <hyperlink ref="G50" r:id="rId2066" display="http://www.plants.usda.gov/java/profile?symbol=AGNE2"/>
    <hyperlink ref="G51" r:id="rId2067" display="http://www.plants.usda.gov/java/profile?symbol=AGSC"/>
    <hyperlink ref="G53" r:id="rId2068" display="http://www.plants.usda.gov/java/profile?symbol=AGGL"/>
    <hyperlink ref="G54" r:id="rId2069" display="http://www.plants.usda.gov/java/profile?symbol=ALIN2"/>
    <hyperlink ref="G55" r:id="rId2070" display="http://www.plants.usda.gov/java/profile?symbol=ALINR"/>
    <hyperlink ref="G59" r:id="rId2071" display="http://www.plants.usda.gov/java/profile?symbol=AMTR"/>
    <hyperlink ref="G60" r:id="rId2072" display="http://www.plants.usda.gov/java/profile?symbol=AMTRT2"/>
    <hyperlink ref="G62" r:id="rId2073" display="http://www.plants.usda.gov/java/profile?symbol=AMAL2"/>
    <hyperlink ref="G63" r:id="rId2074" display="http://www.plants.usda.gov/java/profile?symbol=AMALA"/>
    <hyperlink ref="G64" r:id="rId2075" display="http://www.plants.usda.gov/java/profile?symbol=AMAR3"/>
    <hyperlink ref="G65" r:id="rId2076" display="http://www.plants.usda.gov/java/profile?symbol=AMARA4"/>
    <hyperlink ref="G67" r:id="rId2077" display="http://www.plants.usda.gov/java/profile?symbol=AMHU2"/>
    <hyperlink ref="G73" r:id="rId2078" display="http://www.plants.usda.gov/java/profile?symbol=AMIN2"/>
    <hyperlink ref="G75" r:id="rId2079" display="http://www.plants.usda.gov/java/profile?symbol=AMLA"/>
    <hyperlink ref="G81" r:id="rId2080" display="http://www.plants.usda.gov/java/profile?symbol=AMSA"/>
    <hyperlink ref="G82" r:id="rId2081" display="http://www.plants.usda.gov/java/profile?symbol=AMSAS"/>
    <hyperlink ref="G87" r:id="rId2082" display="http://www.plants.usda.gov/java/profile?symbol=AMST80"/>
    <hyperlink ref="G89" r:id="rId2083" display="http://www.plants.usda.gov/java/profile?symbol=AMCO"/>
    <hyperlink ref="G92" r:id="rId2084" display="http://www.plants.usda.gov/java/profile?symbol=AMCA6"/>
    <hyperlink ref="G94" r:id="rId2085" display="http://www.plants.usda.gov/java/profile?symbol=AMFR"/>
    <hyperlink ref="G111" r:id="rId2086" display="http://www.plants.usda.gov/java/profile?symbol=AMNA"/>
    <hyperlink ref="G112" r:id="rId2087" display="http://www.plants.usda.gov/java/profile?symbol=ARNU2"/>
    <hyperlink ref="G113" r:id="rId2088" display="http://www.plants.usda.gov/java/profile?symbol=ARRA"/>
    <hyperlink ref="G114" r:id="rId2089" display="http://www.plants.usda.gov/java/profile?symbol=ARRAR"/>
    <hyperlink ref="G115" r:id="rId2090" display="http://www.plants.usda.gov/java/profile?symbol=ARUV"/>
    <hyperlink ref="G130" r:id="rId2091" display="http://www.plants.usda.gov/java/profile?symbol=ARDR4"/>
    <hyperlink ref="G140" r:id="rId2092" display="http://www.plants.usda.gov/java/profile?symbol=ARFR4"/>
    <hyperlink ref="G141" r:id="rId2093" display="http://www.plants.usda.gov/java/profile?symbol=ARLU"/>
    <hyperlink ref="G142" r:id="rId2094" display="http://www.plants.usda.gov/java/profile?symbol=ARLUL2"/>
    <hyperlink ref="G156" r:id="rId2095" display="http://www.plants.usda.gov/java/profile?symbol=ARVU"/>
    <hyperlink ref="G157" r:id="rId2096" display="http://www.plants.usda.gov/java/profile?symbol=ASST"/>
    <hyperlink ref="G160" r:id="rId2097" display="http://www.plants.usda.gov/java/profile?symbol=ASTR"/>
    <hyperlink ref="G161" r:id="rId2098" display="http://www.plants.usda.gov/java/profile?symbol=ASMI10"/>
    <hyperlink ref="G162" r:id="rId2099" display="http://www.plants.usda.gov/java/profile?symbol=ASMIM5"/>
    <hyperlink ref="G164" r:id="rId2100" display="http://www.plants.usda.gov/java/profile?symbol=BEAL2"/>
    <hyperlink ref="G165" r:id="rId2101" display="http://www.plants.usda.gov/java/profile?symbol=BEALA"/>
    <hyperlink ref="G169" r:id="rId2102" display="http://www.plants.usda.gov/java/profile?symbol=BENI"/>
    <hyperlink ref="G170" r:id="rId2103" display="http://www.plants.usda.gov/java/profile?symbol=BEPA"/>
    <hyperlink ref="G171" r:id="rId2104" display="http://www.plants.usda.gov/java/profile?symbol=BEPAC2"/>
    <hyperlink ref="G174" r:id="rId2105" display="http://www.plants.usda.gov/java/profile?symbol=BEPAP"/>
    <hyperlink ref="G180" r:id="rId2106" display="http://www.plants.usda.gov/java/profile?symbol=BEPU4"/>
    <hyperlink ref="G181" r:id="rId2107" display="http://www.plants.usda.gov/java/profile?symbol=BEPUG"/>
    <hyperlink ref="G186" r:id="rId2108" display="http://www.plants.usda.gov/java/profile?symbol=BESA"/>
    <hyperlink ref="G187" r:id="rId2109" display="http://www.plants.usda.gov/java/profile?symbol=BREU"/>
    <hyperlink ref="G188" r:id="rId2110" display="http://www.plants.usda.gov/java/profile?symbol=BREUC"/>
    <hyperlink ref="G191" r:id="rId2111" display="http://www.plants.usda.gov/java/profile?symbol=CASE12"/>
    <hyperlink ref="G198" r:id="rId2112" display="http://www.plants.usda.gov/java/profile?symbol=CACA18"/>
    <hyperlink ref="G199" r:id="rId2113" display="http://www.plants.usda.gov/java/profile?symbol=CACAV"/>
    <hyperlink ref="G202" r:id="rId2114" display="http://www.plants.usda.gov/java/profile?symbol=CAAL27"/>
    <hyperlink ref="G207" r:id="rId2115" display="http://www.plants.usda.gov/java/profile?symbol=CACO15"/>
    <hyperlink ref="G210" r:id="rId2116" display="http://www.plants.usda.gov/java/profile?symbol=CAIL2"/>
    <hyperlink ref="G214" r:id="rId2117" display="http://www.plants.usda.gov/java/profile?symbol=CALA21"/>
    <hyperlink ref="G216" r:id="rId2118" display="http://www.plants.usda.gov/java/profile?symbol=CANU8"/>
    <hyperlink ref="G217" r:id="rId2119" display="http://www.plants.usda.gov/java/profile?symbol=CAOV3"/>
    <hyperlink ref="G225" r:id="rId2120" display="http://www.plants.usda.gov/java/profile?symbol=CAOV2"/>
    <hyperlink ref="G232" r:id="rId2121" display="http://www.plants.usda.gov/java/profile?symbol=CASC16"/>
    <hyperlink ref="G233" r:id="rId2122" display="http://www.plants.usda.gov/java/profile?symbol=CADE12"/>
    <hyperlink ref="G235" r:id="rId2123" display="http://www.plants.usda.gov/java/profile?symbol=CASE5"/>
    <hyperlink ref="G236" r:id="rId2124" display="http://www.plants.usda.gov/java/profile?symbol=CABI8"/>
    <hyperlink ref="G238" r:id="rId2125" display="http://www.plants.usda.gov/java/profile?symbol=CASP8"/>
    <hyperlink ref="G239" r:id="rId2126" display="http://www.plants.usda.gov/java/profile?symbol=CEAM"/>
    <hyperlink ref="G243" r:id="rId2127" display="http://www.plants.usda.gov/java/profile?symbol=CEHE"/>
    <hyperlink ref="G248" r:id="rId2128" display="http://www.plants.usda.gov/java/profile?symbol=CEOC"/>
    <hyperlink ref="G257" r:id="rId2129" display="http://www.plants.usda.gov/java/profile?symbol=CEOC2"/>
    <hyperlink ref="G260" r:id="rId2130" display="http://www.plants.usda.gov/java/profile?symbol=CECA4"/>
    <hyperlink ref="G261" r:id="rId2131" display="http://www.plants.usda.gov/java/profile?symbol=CECAC"/>
    <hyperlink ref="G262" r:id="rId2132" display="http://www.plants.usda.gov/java/profile?symbol=CHCA2"/>
    <hyperlink ref="G268" r:id="rId2133" display="http://www.plants.usda.gov/java/profile?symbol=CHUM"/>
    <hyperlink ref="G269" r:id="rId2134" display="http://www.plants.usda.gov/java/profile?symbol=CHUMC2"/>
    <hyperlink ref="G272" r:id="rId2135" display="http://www.plants.usda.gov/java/profile?symbol=CLKE"/>
    <hyperlink ref="G275" r:id="rId2136" display="http://www.plants.usda.gov/java/profile?symbol=CLHA"/>
    <hyperlink ref="G281" r:id="rId2137" display="http://www.plants.usda.gov/java/profile?symbol=COUM"/>
    <hyperlink ref="G282" r:id="rId2138" display="http://www.plants.usda.gov/java/profile?symbol=COUMU"/>
    <hyperlink ref="G284" r:id="rId2139" display="http://www.plants.usda.gov/java/profile?symbol=COAL2"/>
    <hyperlink ref="G286" r:id="rId2140" display="http://www.plants.usda.gov/java/profile?symbol=COAM2"/>
    <hyperlink ref="G288" r:id="rId2141" display="http://www.plants.usda.gov/java/profile?symbol=COCA13"/>
    <hyperlink ref="G292" r:id="rId2142" display="http://www.plants.usda.gov/java/profile?symbol=CODR"/>
    <hyperlink ref="G295" r:id="rId2143" display="http://www.plants.usda.gov/java/profile?symbol=COOB9"/>
    <hyperlink ref="G299" r:id="rId2144" display="http://www.plants.usda.gov/java/profile?symbol=CORA6"/>
    <hyperlink ref="G302" r:id="rId2145" display="http://www.plants.usda.gov/java/profile?symbol=CORU"/>
    <hyperlink ref="G303" r:id="rId2146" display="http://www.plants.usda.gov/java/profile?symbol=COSE16"/>
    <hyperlink ref="G304" r:id="rId2147" display="http://www.plants.usda.gov/java/profile?symbol=COSES"/>
    <hyperlink ref="G323" r:id="rId2148" display="http://www.plants.usda.gov/java/profile?symbol=COAM3"/>
    <hyperlink ref="G325" r:id="rId2149" display="http://www.plants.usda.gov/java/profile?symbol=COCO6"/>
    <hyperlink ref="G326" r:id="rId2150" display="http://www.plants.usda.gov/java/profile?symbol=COCOC2"/>
    <hyperlink ref="G328" r:id="rId2151" display="http://www.plants.usda.gov/java/profile?symbol=CRCA"/>
    <hyperlink ref="G340" r:id="rId2152" display="http://www.plants.usda.gov/java/profile?symbol=CRCH"/>
    <hyperlink ref="G341" r:id="rId2153" display="http://www.plants.usda.gov/java/profile?symbol=CRCHC2"/>
    <hyperlink ref="G368" r:id="rId2154" display="http://www.plants.usda.gov/java/profile?symbol=CRCO2"/>
    <hyperlink ref="G369" r:id="rId2155" display="http://www.plants.usda.gov/java/profile?symbol=CRCR2"/>
    <hyperlink ref="G409" r:id="rId2156" display="http://www.plants.usda.gov/java/profile?symbol=CRDI4"/>
    <hyperlink ref="G417" r:id="rId2157" display="http://www.plants.usda.gov/java/profile?symbol=CRMA4"/>
    <hyperlink ref="G422" r:id="rId2158" display="http://www.plants.usda.gov/java/profile?symbol=CRMO2"/>
    <hyperlink ref="G439" r:id="rId2159" display="http://www.plants.usda.gov/java/profile?symbol=CRPR2"/>
    <hyperlink ref="G474" r:id="rId2160" display="http://www.plants.usda.gov/java/profile?symbol=CRPU"/>
    <hyperlink ref="G484" r:id="rId2161" display="http://www.plants.usda.gov/java/profile?symbol=CRSU5"/>
    <hyperlink ref="G528" r:id="rId2162" display="http://www.plants.usda.gov/java/profile?symbol=CRSA4"/>
    <hyperlink ref="G533" r:id="rId2163" display="http://www.plants.usda.gov/java/profile?symbol=CRGL2"/>
    <hyperlink ref="G534" r:id="rId2164" display="http://www.plants.usda.gov/java/profile?symbol=CRGLS"/>
    <hyperlink ref="G535" r:id="rId2165" display="http://www.plants.usda.gov/java/profile?symbol=DACA7"/>
    <hyperlink ref="G536" r:id="rId2166" display="http://www.plants.usda.gov/java/profile?symbol=DACAC"/>
    <hyperlink ref="G538" r:id="rId2167" display="http://www.plants.usda.gov/java/profile?symbol=DACAO"/>
    <hyperlink ref="G544" r:id="rId2168" display="http://www.plants.usda.gov/java/profile?symbol=DAPU5"/>
    <hyperlink ref="G545" r:id="rId2169" display="http://www.plants.usda.gov/java/profile?symbol=DAPUP"/>
    <hyperlink ref="G549" r:id="rId2170" display="http://www.plants.usda.gov/java/profile?symbol=DAVI"/>
    <hyperlink ref="G550" r:id="rId2171" display="http://www.plants.usda.gov/java/profile?symbol=DAVIV"/>
    <hyperlink ref="G552" r:id="rId2172" display="http://www.plants.usda.gov/java/profile?symbol=DAFR6"/>
    <hyperlink ref="G553" r:id="rId2173" display="http://www.plants.usda.gov/java/profile?symbol=DAFRF"/>
    <hyperlink ref="G563" r:id="rId2174" display="http://www.plants.usda.gov/java/profile?symbol=DAWR2"/>
    <hyperlink ref="G567" r:id="rId2175" display="http://www.plants.usda.gov/java/profile?symbol=DEVE"/>
    <hyperlink ref="G569" r:id="rId2176" display="http://www.plants.usda.gov/java/profile?symbol=DEIL"/>
    <hyperlink ref="G572" r:id="rId2177" display="http://www.plants.usda.gov/java/profile?symbol=DILO"/>
    <hyperlink ref="G575" r:id="rId2178" display="http://www.plants.usda.gov/java/profile?symbol=DIVI5"/>
    <hyperlink ref="G581" r:id="rId2179" display="http://www.plants.usda.gov/java/profile?symbol=DIPA9"/>
    <hyperlink ref="G582" r:id="rId2180" display="http://www.plants.usda.gov/java/profile?symbol=EPRE2"/>
    <hyperlink ref="G584" r:id="rId2181" display="http://www.plants.usda.gov/java/profile?symbol=ERAN2"/>
    <hyperlink ref="G586" r:id="rId2182" display="http://www.plants.usda.gov/java/profile?symbol=ERCA14"/>
    <hyperlink ref="G587" r:id="rId2183" display="http://www.plants.usda.gov/java/profile?symbol=ESMI3"/>
    <hyperlink ref="G604" r:id="rId2184" display="http://www.plants.usda.gov/java/profile?symbol=EUAT5"/>
    <hyperlink ref="G606" r:id="rId2185" display="http://www.plants.usda.gov/java/profile?symbol=EUATA2"/>
    <hyperlink ref="G608" r:id="rId2186" display="http://www.plants.usda.gov/java/profile?symbol=EUMA12"/>
    <hyperlink ref="G609" r:id="rId2187" display="http://www.plants.usda.gov/java/profile?symbol=EUMAB"/>
    <hyperlink ref="G613" r:id="rId2188" display="http://www.plants.usda.gov/java/profile?symbol=EUMAM3"/>
    <hyperlink ref="G617" r:id="rId2189" display="http://www.plants.usda.gov/java/profile?symbol=FRAL4"/>
    <hyperlink ref="G621" r:id="rId2190" display="http://www.plants.usda.gov/java/profile?symbol=FRAM2"/>
    <hyperlink ref="G628" r:id="rId2191" display="http://www.plants.usda.gov/java/profile?symbol=FRNI"/>
    <hyperlink ref="G629" r:id="rId2192" display="http://www.plants.usda.gov/java/profile?symbol=FRPE"/>
    <hyperlink ref="G638" r:id="rId2193" display="http://www.plants.usda.gov/java/profile?symbol=FRQU"/>
    <hyperlink ref="G639" r:id="rId2194" display="http://www.plants.usda.gov/java/profile?symbol=GAPU"/>
    <hyperlink ref="G640" r:id="rId2195" display="http://www.plants.usda.gov/java/profile?symbol=GAPUP2"/>
    <hyperlink ref="G644" r:id="rId2196" display="http://www.plants.usda.gov/java/profile?symbol=GABO2"/>
    <hyperlink ref="G655" r:id="rId2197" display="http://www.plants.usda.gov/java/profile?symbol=GACI2"/>
    <hyperlink ref="G656" r:id="rId2198" display="http://www.plants.usda.gov/java/profile?symbol=GACO5"/>
    <hyperlink ref="G664" r:id="rId2199" display="http://www.plants.usda.gov/java/profile?symbol=GABA"/>
    <hyperlink ref="G666" r:id="rId2200" display="http://www.plants.usda.gov/java/profile?symbol=GLTR"/>
    <hyperlink ref="G668" r:id="rId2201" display="http://www.plants.usda.gov/java/profile?symbol=GYDI"/>
    <hyperlink ref="G669" r:id="rId2202" display="http://www.plants.usda.gov/java/profile?symbol=HAVI4"/>
    <hyperlink ref="G674" r:id="rId2203" display="http://www.plants.usda.gov/java/profile?symbol=HEBI2"/>
    <hyperlink ref="G677" r:id="rId2204" display="http://www.plants.usda.gov/java/profile?symbol=HECA3"/>
    <hyperlink ref="G680" r:id="rId2205" display="http://www.plants.usda.gov/java/profile?symbol=HEST3"/>
    <hyperlink ref="G681" r:id="rId2206" display="http://www.plants.usda.gov/java/profile?symbol=HESTS"/>
    <hyperlink ref="G686" r:id="rId2207" display="http://www.plants.usda.gov/java/profile?symbol=HEVI4"/>
    <hyperlink ref="G687" r:id="rId2208" display="http://www.plants.usda.gov/java/profile?symbol=HEVIM3"/>
    <hyperlink ref="G696" r:id="rId2209" display="http://www.plants.usda.gov/java/profile?symbol=HEVIV"/>
    <hyperlink ref="G699" r:id="rId2210" display="http://www.plants.usda.gov/java/profile?symbol=HUTO"/>
    <hyperlink ref="G700" r:id="rId2211" display="http://www.plants.usda.gov/java/profile?symbol=HUTOT"/>
    <hyperlink ref="G702" r:id="rId2212" display="http://www.plants.usda.gov/java/profile?symbol=HUBA"/>
    <hyperlink ref="G704" r:id="rId2213" display="http://www.plants.usda.gov/java/profile?symbol=HULU2"/>
    <hyperlink ref="G711" r:id="rId2214" display="http://www.plants.usda.gov/java/profile?symbol=HUPO2"/>
    <hyperlink ref="G721" r:id="rId2215" display="http://www.plants.usda.gov/java/profile?symbol=HYPR"/>
    <hyperlink ref="G723" r:id="rId2216" display="http://www.plants.usda.gov/java/profile?symbol=HYSP2"/>
    <hyperlink ref="G726" r:id="rId2217" display="http://www.plants.usda.gov/java/profile?symbol=ILVE"/>
    <hyperlink ref="G733" r:id="rId2218" display="http://www.plants.usda.gov/java/profile?symbol=JUCI"/>
    <hyperlink ref="G735" r:id="rId2219" display="http://www.plants.usda.gov/java/profile?symbol=JUNI"/>
    <hyperlink ref="G737" r:id="rId2220" display="http://www.plants.usda.gov/java/profile?symbol=JUCO6"/>
    <hyperlink ref="G738" r:id="rId2221" display="http://www.plants.usda.gov/java/profile?symbol=JUCOD"/>
    <hyperlink ref="G742" r:id="rId2222" display="http://www.plants.usda.gov/java/profile?symbol=JUHO2"/>
    <hyperlink ref="G753" r:id="rId2223" display="http://www.plants.usda.gov/java/profile?symbol=JUVI"/>
    <hyperlink ref="G754" r:id="rId2224" display="http://www.plants.usda.gov/java/profile?symbol=JUVIV"/>
    <hyperlink ref="G758" r:id="rId2225" display="http://www.plants.usda.gov/java/profile?symbol=LIBE3"/>
    <hyperlink ref="G759" r:id="rId2226" display="http://www.plants.usda.gov/java/profile?symbol=LIBEP"/>
    <hyperlink ref="G761" r:id="rId2227" display="http://www.plants.usda.gov/java/profile?symbol=LIBO3"/>
    <hyperlink ref="G762" r:id="rId2228" display="http://www.plants.usda.gov/java/profile?symbol=LIBOA"/>
    <hyperlink ref="G765" r:id="rId2229" display="http://www.plants.usda.gov/java/profile?symbol=LIPE2"/>
    <hyperlink ref="G767" r:id="rId2230" display="http://www.plants.usda.gov/java/profile?symbol=LITU"/>
    <hyperlink ref="G768" r:id="rId2231" display="http://www.plants.usda.gov/java/profile?symbol=LOCA7"/>
    <hyperlink ref="G770" r:id="rId2232" display="http://www.plants.usda.gov/java/profile?symbol=LORE5"/>
    <hyperlink ref="G774" r:id="rId2233" display="http://www.plants.usda.gov/java/profile?symbol=LYIN2"/>
    <hyperlink ref="G777" r:id="rId2234" display="http://www.plants.usda.gov/java/profile?symbol=LYCL"/>
    <hyperlink ref="G781" r:id="rId2235" display="http://www.plants.usda.gov/java/profile?symbol=LYDE"/>
    <hyperlink ref="G784" r:id="rId2236" display="http://www.plants.usda.gov/java/profile?symbol=LYDI3"/>
    <hyperlink ref="G790" r:id="rId2237" display="http://www.plants.usda.gov/java/profile?symbol=LYAL4"/>
    <hyperlink ref="G791" r:id="rId2238" display="http://www.plants.usda.gov/java/profile?symbol=LYALA4"/>
    <hyperlink ref="G793" r:id="rId2239" display="http://www.plants.usda.gov/java/profile?symbol=MAPI"/>
    <hyperlink ref="G794" r:id="rId2240" display="http://www.plants.usda.gov/java/profile?symbol=MAPIP"/>
    <hyperlink ref="G795" r:id="rId2241" display="http://www.plants.usda.gov/java/profile?symbol=MAPIG3"/>
    <hyperlink ref="G800" r:id="rId2242" display="http://www.plants.usda.gov/java/profile?symbol=MAPIP4"/>
    <hyperlink ref="G830" r:id="rId2243" display="http://www.plants.usda.gov/java/profile?symbol=MAPO"/>
    <hyperlink ref="G833" r:id="rId2244" display="http://www.plants.usda.gov/java/profile?symbol=MAIO"/>
    <hyperlink ref="G834" r:id="rId2245" display="http://www.plants.usda.gov/java/profile?symbol=MAIOI"/>
    <hyperlink ref="G838" r:id="rId2246" display="http://www.plants.usda.gov/java/profile?symbol=MEPA"/>
    <hyperlink ref="G839" r:id="rId2247" display="http://www.plants.usda.gov/java/profile?symbol=MEPAP"/>
    <hyperlink ref="G842" r:id="rId2248" display="http://www.plants.usda.gov/java/profile?symbol=MIAL4"/>
    <hyperlink ref="G865" r:id="rId2249" display="http://www.plants.usda.gov/java/profile?symbol=MIRE"/>
    <hyperlink ref="G866" r:id="rId2250" display="http://www.plants.usda.gov/java/profile?symbol=MOFI"/>
    <hyperlink ref="G867" r:id="rId2251" display="http://www.plants.usda.gov/java/profile?symbol=MOFIF"/>
    <hyperlink ref="G868" r:id="rId2252" display="http://www.plants.usda.gov/java/profile?symbol=MOFIM2"/>
    <hyperlink ref="G870" r:id="rId2253" display="http://www.plants.usda.gov/java/profile?symbol=MOPU"/>
    <hyperlink ref="G871" r:id="rId2254" display="http://www.plants.usda.gov/java/profile?symbol=MOPUP"/>
    <hyperlink ref="G872" r:id="rId2255" display="http://www.plants.usda.gov/java/profile?symbol=MOPUV"/>
    <hyperlink ref="G874" r:id="rId2256" display="http://www.plants.usda.gov/java/profile?symbol=MORU2"/>
    <hyperlink ref="G875" r:id="rId2257" display="http://www.plants.usda.gov/java/profile?symbol=MORUR"/>
    <hyperlink ref="G876" r:id="rId2258" display="http://www.plants.usda.gov/java/profile?symbol=OESP2"/>
    <hyperlink ref="G880" r:id="rId2259" display="http://www.plants.usda.gov/java/profile?symbol=OPFR"/>
    <hyperlink ref="G887" r:id="rId2260" display="http://www.plants.usda.gov/java/profile?symbol=OPHU"/>
    <hyperlink ref="G896" r:id="rId2261" display="http://www.plants.usda.gov/java/profile?symbol=OPMA2"/>
    <hyperlink ref="G897" r:id="rId2262" display="http://www.plants.usda.gov/java/profile?symbol=OPMAM3"/>
    <hyperlink ref="G908" r:id="rId2263" display="http://www.plants.usda.gov/java/profile?symbol=ORSE"/>
    <hyperlink ref="G916" r:id="rId2264" display="http://www.plants.usda.gov/java/profile?symbol=OSVI"/>
    <hyperlink ref="G917" r:id="rId2265" display="http://www.plants.usda.gov/java/profile?symbol=OSVIV"/>
    <hyperlink ref="G919" r:id="rId2266" display="http://www.plants.usda.gov/java/profile?symbol=OXAL"/>
    <hyperlink ref="G920" r:id="rId2267" display="http://www.plants.usda.gov/java/profile?symbol=OXALA"/>
    <hyperlink ref="G928" r:id="rId2268" display="http://www.plants.usda.gov/java/profile?symbol=PECA"/>
    <hyperlink ref="G929" r:id="rId2269" display="http://www.plants.usda.gov/java/profile?symbol=PECAC3"/>
    <hyperlink ref="G932" r:id="rId2270" display="http://www.plants.usda.gov/java/profile?symbol=PHPA29"/>
    <hyperlink ref="G935" r:id="rId2271" display="http://www.plants.usda.gov/java/profile?symbol=PHPU4"/>
    <hyperlink ref="G936" r:id="rId2272" display="http://www.plants.usda.gov/java/profile?symbol=PHPUP"/>
    <hyperlink ref="G939" r:id="rId2273" display="http://www.plants.usda.gov/java/profile?symbol=PHBI3"/>
    <hyperlink ref="G940" r:id="rId2274" display="http://www.plants.usda.gov/java/profile?symbol=PHBIB"/>
    <hyperlink ref="G943" r:id="rId2275" display="http://www.plants.usda.gov/java/profile?symbol=PHDI5"/>
    <hyperlink ref="G944" r:id="rId2276" display="http://www.plants.usda.gov/java/profile?symbol=PHDIL6"/>
    <hyperlink ref="G946" r:id="rId2277" display="http://www.plants.usda.gov/java/profile?symbol=PHPI"/>
    <hyperlink ref="G947" r:id="rId2278" display="http://www.plants.usda.gov/java/profile?symbol=PHPIF2"/>
    <hyperlink ref="G949" r:id="rId2279" display="http://www.plants.usda.gov/java/profile?symbol=PHPIP2"/>
    <hyperlink ref="G953" r:id="rId2280" display="http://www.plants.usda.gov/java/profile?symbol=PHSU3"/>
    <hyperlink ref="G954" r:id="rId2281" display="http://www.plants.usda.gov/java/profile?symbol=PHSUS2"/>
    <hyperlink ref="G955" r:id="rId2282" display="http://www.plants.usda.gov/java/profile?symbol=PHME13"/>
    <hyperlink ref="G962" r:id="rId2283" display="http://www.plants.usda.gov/java/profile?symbol=PHAU7"/>
    <hyperlink ref="G968" r:id="rId2284" display="http://www.plants.usda.gov/java/profile?symbol=PHOP"/>
    <hyperlink ref="G969" r:id="rId2285" display="http://www.plants.usda.gov/java/profile?symbol=PHOPI"/>
    <hyperlink ref="G972" r:id="rId2286" display="http://www.plants.usda.gov/java/profile?symbol=PHOPO"/>
    <hyperlink ref="G979" r:id="rId2287" display="http://www.plants.usda.gov/java/profile?symbol=PIST"/>
    <hyperlink ref="G981" r:id="rId2288" display="http://www.plants.usda.gov/java/profile?symbol=PLOC"/>
    <hyperlink ref="G983" r:id="rId2289" display="http://www.plants.usda.gov/java/profile?symbol=PORE2"/>
    <hyperlink ref="G984" r:id="rId2290" display="http://www.plants.usda.gov/java/profile?symbol=PORER"/>
    <hyperlink ref="G985" r:id="rId2291" display="http://www.plants.usda.gov/java/profile?symbol=POAR4"/>
    <hyperlink ref="G988" r:id="rId2292" display="http://www.plants.usda.gov/java/profile?symbol=POBA2"/>
    <hyperlink ref="G989" r:id="rId2293" display="http://www.plants.usda.gov/java/profile?symbol=POBAB2"/>
    <hyperlink ref="G1001" r:id="rId2294" display="http://www.plants.usda.gov/java/profile?symbol=POCA19"/>
    <hyperlink ref="G1007" r:id="rId2295" display="http://www.plants.usda.gov/java/profile?symbol=PODE3"/>
    <hyperlink ref="G1008" r:id="rId2296" display="http://www.plants.usda.gov/java/profile?symbol=PODED"/>
    <hyperlink ref="G1023" r:id="rId2297" display="http://www.plants.usda.gov/java/profile?symbol=PODEM"/>
    <hyperlink ref="G1032" r:id="rId2298" display="http://www.plants.usda.gov/java/profile?symbol=POGR4"/>
    <hyperlink ref="G1036" r:id="rId2299" display="http://www.plants.usda.gov/java/profile?symbol=POJA2"/>
    <hyperlink ref="G1043" r:id="rId2300" display="http://www.plants.usda.gov/java/profile?symbol=PORO4"/>
    <hyperlink ref="G1044" r:id="rId2301" display="http://www.plants.usda.gov/java/profile?symbol=POTR5"/>
    <hyperlink ref="G1056" r:id="rId2302" display="http://www.plants.usda.gov/java/profile?symbol=POAR7"/>
    <hyperlink ref="G1057" r:id="rId2303" display="http://www.plants.usda.gov/java/profile?symbol=POARA4"/>
    <hyperlink ref="G1061" r:id="rId2304" display="http://www.plants.usda.gov/java/profile?symbol=PRAM"/>
    <hyperlink ref="G1062" r:id="rId2305" display="http://www.plants.usda.gov/java/profile?symbol=PRHO"/>
    <hyperlink ref="G1064" r:id="rId2306" display="http://www.plants.usda.gov/java/profile?symbol=PRME"/>
    <hyperlink ref="G1070" r:id="rId2307" display="http://www.plants.usda.gov/java/profile?symbol=PRNI"/>
    <hyperlink ref="G1072" r:id="rId2308" display="http://www.plants.usda.gov/java/profile?symbol=PRPE2"/>
    <hyperlink ref="G1073" r:id="rId2309" display="http://www.plants.usda.gov/java/profile?symbol=PRPEP"/>
    <hyperlink ref="G1075" r:id="rId2310" display="http://www.plants.usda.gov/java/profile?symbol=PRPU3"/>
    <hyperlink ref="G1076" r:id="rId2311" display="http://www.plants.usda.gov/java/profile?symbol=PRPUB"/>
    <hyperlink ref="G1080" r:id="rId2312" display="http://www.plants.usda.gov/java/profile?symbol=PRPUP"/>
    <hyperlink ref="G1082" r:id="rId2313" display="http://www.plants.usda.gov/java/profile?symbol=PRSE2"/>
    <hyperlink ref="G1083" r:id="rId2314" display="http://www.plants.usda.gov/java/profile?symbol=PRSES"/>
    <hyperlink ref="G1084" r:id="rId2315" display="http://www.plants.usda.gov/java/profile?symbol=PRVI"/>
    <hyperlink ref="G1085" r:id="rId2316" display="http://www.plants.usda.gov/java/profile?symbol=PRVID"/>
    <hyperlink ref="G1088" r:id="rId2317" display="http://www.plants.usda.gov/java/profile?symbol=PTTR"/>
    <hyperlink ref="G1089" r:id="rId2318" display="http://www.plants.usda.gov/java/profile?symbol=PTTRT"/>
    <hyperlink ref="G1090" r:id="rId2319" display="http://www.plants.usda.gov/java/profile?symbol=PTTRT2"/>
    <hyperlink ref="G1095" r:id="rId2320" display="http://www.plants.usda.gov/java/profile?symbol=PYAS"/>
    <hyperlink ref="G1096" r:id="rId2321" display="http://www.plants.usda.gov/java/profile?symbol=PYASA"/>
    <hyperlink ref="G1105" r:id="rId2322" display="http://www.plants.usda.gov/java/profile?symbol=PYEL"/>
    <hyperlink ref="G1107" r:id="rId2323" display="http://www.plants.usda.gov/java/profile?symbol=QUAL"/>
    <hyperlink ref="G1110" r:id="rId2324" display="http://www.plants.usda.gov/java/profile?symbol=QUBE3"/>
    <hyperlink ref="G1111" r:id="rId2325" display="http://www.plants.usda.gov/java/profile?symbol=QUBI"/>
    <hyperlink ref="G1112" r:id="rId2326" display="http://www.plants.usda.gov/java/profile?symbol=QUBU"/>
    <hyperlink ref="G1113" r:id="rId2327" display="http://www.plants.usda.gov/java/profile?symbol=QUDE"/>
    <hyperlink ref="G1115" r:id="rId2328" display="http://www.plants.usda.gov/java/profile?symbol=QUEL"/>
    <hyperlink ref="G1116" r:id="rId2329" display="http://www.plants.usda.gov/java/profile?symbol=QUEX"/>
    <hyperlink ref="G1117" r:id="rId2330" display="http://www.plants.usda.gov/java/profile?symbol=QUFE2"/>
    <hyperlink ref="G1118" r:id="rId2331" display="http://www.plants.usda.gov/java/profile?symbol=QUHA4"/>
    <hyperlink ref="G1120" r:id="rId2332" display="http://www.plants.usda.gov/java/profile?symbol=QUIM"/>
    <hyperlink ref="G1121" r:id="rId2333" display="http://www.plants.usda.gov/java/profile?symbol=QULE"/>
    <hyperlink ref="G1122" r:id="rId2334" display="http://www.plants.usda.gov/java/profile?symbol=QUMA2"/>
    <hyperlink ref="G1123" r:id="rId2335" display="http://www.plants.usda.gov/java/profile?symbol=QUMAM"/>
    <hyperlink ref="G1125" r:id="rId2336" display="http://www.plants.usda.gov/java/profile?symbol=QUMA3"/>
    <hyperlink ref="G1126" r:id="rId2337" display="http://www.plants.usda.gov/java/profile?symbol=QUMAM2"/>
    <hyperlink ref="G1128" r:id="rId2338" display="http://www.plants.usda.gov/java/profile?symbol=QUMU"/>
    <hyperlink ref="G1133" r:id="rId2339" display="http://www.plants.usda.gov/java/profile?symbol=QUPA"/>
    <hyperlink ref="G1134" r:id="rId2340" display="http://www.plants.usda.gov/java/profile?symbol=QUPA2"/>
    <hyperlink ref="G1135" r:id="rId2341" display="http://www.plants.usda.gov/java/profile?symbol=QUPR"/>
    <hyperlink ref="G1137" r:id="rId2342" display="http://www.plants.usda.gov/java/profile?symbol=QURU"/>
    <hyperlink ref="G1138" r:id="rId2343" display="http://www.plants.usda.gov/java/profile?symbol=QURUA"/>
    <hyperlink ref="G1141" r:id="rId2344" display="http://www.plants.usda.gov/java/profile?symbol=QURUR"/>
    <hyperlink ref="G1144" r:id="rId2345" display="http://www.plants.usda.gov/java/profile?symbol=QUSC2"/>
    <hyperlink ref="G1146" r:id="rId2346" display="http://www.plants.usda.gov/java/profile?symbol=QUST"/>
    <hyperlink ref="G1149" r:id="rId2347" display="http://www.plants.usda.gov/java/profile?symbol=QUVE"/>
    <hyperlink ref="G1151" r:id="rId2348" display="http://www.plants.usda.gov/java/profile?symbol=RHAL"/>
    <hyperlink ref="G1152" r:id="rId2349" display="http://www.plants.usda.gov/java/profile?symbol=RHLA"/>
    <hyperlink ref="G1153" r:id="rId2350" display="http://www.plants.usda.gov/java/profile?symbol=RHLAG2"/>
    <hyperlink ref="G1155" r:id="rId2351" display="http://www.plants.usda.gov/java/profile?symbol=RHLAL3"/>
    <hyperlink ref="G1156" r:id="rId2352" display="http://www.plants.usda.gov/java/profile?symbol=RHAR4"/>
    <hyperlink ref="G1157" r:id="rId2353" display="http://www.plants.usda.gov/java/profile?symbol=RHARA2"/>
    <hyperlink ref="G1160" r:id="rId2354" display="http://www.plants.usda.gov/java/profile?symbol=RHARS"/>
    <hyperlink ref="G1163" r:id="rId2355" display="http://www.plants.usda.gov/java/profile?symbol=RHCO"/>
    <hyperlink ref="G1165" r:id="rId2356" display="http://www.plants.usda.gov/java/profile?symbol=RHCOL2"/>
    <hyperlink ref="G1167" r:id="rId2357" display="http://www.plants.usda.gov/java/profile?symbol=RHGL"/>
    <hyperlink ref="G1173" r:id="rId2358" display="http://www.plants.usda.gov/java/profile?symbol=RHTR"/>
    <hyperlink ref="G1174" r:id="rId2359" display="http://www.plants.usda.gov/java/profile?symbol=RHTRT"/>
    <hyperlink ref="G1180" r:id="rId2360" display="http://www.plants.usda.gov/java/profile?symbol=RHTY"/>
    <hyperlink ref="G1184" r:id="rId2361" display="http://www.plants.usda.gov/java/profile?symbol=RIAM2"/>
    <hyperlink ref="G1185" r:id="rId2362" display="http://www.plants.usda.gov/java/profile?symbol=RIAU"/>
    <hyperlink ref="G1186" r:id="rId2363" display="http://www.plants.usda.gov/java/profile?symbol=RIAUV"/>
    <hyperlink ref="G1188" r:id="rId2364" display="http://www.plants.usda.gov/java/profile?symbol=RICY"/>
    <hyperlink ref="G1194" r:id="rId2365" display="http://www.plants.usda.gov/java/profile?symbol=RIHI"/>
    <hyperlink ref="G1201" r:id="rId2366" display="http://www.plants.usda.gov/java/profile?symbol=RIHU"/>
    <hyperlink ref="G1202" r:id="rId2367" display="http://www.plants.usda.gov/java/profile?symbol=RIHUH"/>
    <hyperlink ref="G1203" r:id="rId2368" display="http://www.plants.usda.gov/java/profile?symbol=RIMI"/>
    <hyperlink ref="G1206" r:id="rId2369" display="http://www.plants.usda.gov/java/profile?symbol=ROHI"/>
    <hyperlink ref="G1207" r:id="rId2370" display="http://www.plants.usda.gov/java/profile?symbol=ROHIF8"/>
    <hyperlink ref="G1211" r:id="rId2371" display="http://www.plants.usda.gov/java/profile?symbol=ROHIH"/>
    <hyperlink ref="G1215" r:id="rId2372" display="http://www.plants.usda.gov/java/profile?symbol=ROPS"/>
    <hyperlink ref="G1219" r:id="rId2373" display="http://www.plants.usda.gov/java/profile?symbol=ROAC"/>
    <hyperlink ref="G1220" r:id="rId2374" display="http://www.plants.usda.gov/java/profile?symbol=ROACS"/>
    <hyperlink ref="G1227" r:id="rId2375" display="http://www.plants.usda.gov/java/profile?symbol=ROAR3"/>
    <hyperlink ref="G1228" r:id="rId2376" display="http://www.plants.usda.gov/java/profile?symbol=ROARS"/>
    <hyperlink ref="G1234" r:id="rId2377" display="http://www.plants.usda.gov/java/profile?symbol=ROBL"/>
    <hyperlink ref="G1235" r:id="rId2378" display="http://www.plants.usda.gov/java/profile?symbol=ROBLB"/>
    <hyperlink ref="G1241" r:id="rId2379" display="http://www.plants.usda.gov/java/profile?symbol=ROCA4"/>
    <hyperlink ref="G1242" r:id="rId2380" display="http://www.plants.usda.gov/java/profile?symbol=ROCAC"/>
    <hyperlink ref="G1255" r:id="rId2381" display="http://www.plants.usda.gov/java/profile?symbol=RODU"/>
    <hyperlink ref="G1256" r:id="rId2382" display="http://www.plants.usda.gov/java/profile?symbol=ROPA"/>
    <hyperlink ref="G1260" r:id="rId2383" display="http://www.plants.usda.gov/java/profile?symbol=RORU3"/>
    <hyperlink ref="G1261" r:id="rId2384" display="http://www.plants.usda.gov/java/profile?symbol=ROSE2"/>
    <hyperlink ref="G1262" r:id="rId2385" display="http://www.plants.usda.gov/java/profile?symbol=ROSET"/>
    <hyperlink ref="G1263" r:id="rId2386" display="http://www.plants.usda.gov/java/profile?symbol=ROWO"/>
    <hyperlink ref="G1264" r:id="rId2387" display="http://www.plants.usda.gov/java/profile?symbol=ROWOW"/>
    <hyperlink ref="G1276" r:id="rId2388" display="http://www.plants.usda.gov/java/profile?symbol=RUAB"/>
    <hyperlink ref="G1286" r:id="rId2389" display="http://www.plants.usda.gov/java/profile?symbol=RUAL"/>
    <hyperlink ref="G1287" r:id="rId2390" display="http://www.plants.usda.gov/java/profile?symbol=RUALA"/>
    <hyperlink ref="G1299" r:id="rId2391" display="http://www.plants.usda.gov/java/profile?symbol=RUAL9"/>
    <hyperlink ref="G1312" r:id="rId2392" display="http://www.plants.usda.gov/java/profile?symbol=RUBE"/>
    <hyperlink ref="G1313" r:id="rId2393" display="http://www.plants.usda.gov/java/profile?symbol=RUFE"/>
    <hyperlink ref="G1316" r:id="rId2394" display="http://www.plants.usda.gov/java/profile?symbol=RUFL"/>
    <hyperlink ref="G1345" r:id="rId2395" display="http://www.plants.usda.gov/java/profile?symbol=RUFR4"/>
    <hyperlink ref="G1358" r:id="rId2396" display="http://www.plants.usda.gov/java/profile?symbol=RUHI"/>
    <hyperlink ref="G1362" r:id="rId2397" display="http://www.plants.usda.gov/java/profile?symbol=RUID"/>
    <hyperlink ref="G1363" r:id="rId2398" display="http://www.plants.usda.gov/java/profile?symbol=RUIDS2"/>
    <hyperlink ref="G1379" r:id="rId2399" display="http://www.plants.usda.gov/java/profile?symbol=RUIT"/>
    <hyperlink ref="G1385" r:id="rId2400" display="http://www.plants.usda.gov/java/profile?symbol=RULA6"/>
    <hyperlink ref="G1399" r:id="rId2401" display="http://www.plants.usda.gov/java/profile?symbol=RULE3"/>
    <hyperlink ref="G1401" r:id="rId2402" display="http://www.plants.usda.gov/java/profile?symbol=RUME3"/>
    <hyperlink ref="G1403" r:id="rId2403" display="http://www.plants.usda.gov/java/profile?symbol=RUMI4"/>
    <hyperlink ref="G1410" r:id="rId2404" display="http://www.plants.usda.gov/java/profile?symbol=RUOC"/>
    <hyperlink ref="G1412" r:id="rId2405" display="http://www.plants.usda.gov/java/profile?symbol=RUPA"/>
    <hyperlink ref="G1413" r:id="rId2406" display="http://www.plants.usda.gov/java/profile?symbol=RUPAP2"/>
    <hyperlink ref="G1420" r:id="rId2407" display="http://www.plants.usda.gov/java/profile?symbol=RUPE6"/>
    <hyperlink ref="G1426" r:id="rId2408" display="http://www.plants.usda.gov/java/profile?symbol=RUPL"/>
    <hyperlink ref="G1446" r:id="rId2409" display="http://www.plants.usda.gov/java/profile?symbol=RUPU"/>
    <hyperlink ref="G1447" r:id="rId2410" display="http://www.plants.usda.gov/java/profile?symbol=RUPUP2"/>
    <hyperlink ref="G1450" r:id="rId2411" display="http://www.plants.usda.gov/java/profile?symbol=RURE"/>
    <hyperlink ref="G1457" r:id="rId2412" display="http://www.plants.usda.gov/java/profile?symbol=RURO2"/>
    <hyperlink ref="G1465" r:id="rId2413" display="http://www.plants.usda.gov/java/profile?symbol=RURO3"/>
    <hyperlink ref="G1466" r:id="rId2414" display="http://www.plants.usda.gov/java/profile?symbol=RUSE3"/>
    <hyperlink ref="G1468" r:id="rId2415" display="http://www.plants.usda.gov/java/profile?symbol=RUST5"/>
    <hyperlink ref="G1470" r:id="rId2416" display="http://www.plants.usda.gov/java/profile?symbol=RUST7"/>
    <hyperlink ref="G1472" r:id="rId2417" display="http://www.plants.usda.gov/java/profile?symbol=RUWH2"/>
    <hyperlink ref="G1481" r:id="rId2418" display="http://www.plants.usda.gov/java/profile?symbol=RUWI"/>
    <hyperlink ref="G1486" r:id="rId2419" display="http://www.plants.usda.gov/java/profile?symbol=RULA3"/>
    <hyperlink ref="G1487" r:id="rId2420" display="http://www.plants.usda.gov/java/profile?symbol=RULAL"/>
    <hyperlink ref="G1489" r:id="rId2421" display="http://www.plants.usda.gov/java/profile?symbol=SARU"/>
    <hyperlink ref="G1492" r:id="rId2422" display="http://www.plants.usda.gov/java/profile?symbol=SAAM2"/>
    <hyperlink ref="G1497" r:id="rId2423" display="http://www.plants.usda.gov/java/profile?symbol=SABE2"/>
    <hyperlink ref="G1515" r:id="rId2424" display="http://www.plants.usda.gov/java/profile?symbol=SACA4"/>
    <hyperlink ref="G1519" r:id="rId2425" display="http://www.plants.usda.gov/java/profile?symbol=SADI"/>
    <hyperlink ref="G1530" r:id="rId2426" display="http://www.plants.usda.gov/java/profile?symbol=SAER"/>
    <hyperlink ref="G1551" r:id="rId2427" display="http://www.plants.usda.gov/java/profile?symbol=SAHU2"/>
    <hyperlink ref="G1552" r:id="rId2428" display="http://www.plants.usda.gov/java/profile?symbol=SAHUH"/>
    <hyperlink ref="G1562" r:id="rId2429" display="http://www.plants.usda.gov/java/profile?symbol=SAHUT"/>
    <hyperlink ref="G1573" r:id="rId2430" display="http://www.plants.usda.gov/java/profile?symbol=SAIN3"/>
    <hyperlink ref="G1589" r:id="rId2431" display="http://www.plants.usda.gov/java/profile?symbol=SALU"/>
    <hyperlink ref="G1590" r:id="rId2432" display="http://www.plants.usda.gov/java/profile?symbol=SALUL2"/>
    <hyperlink ref="G1597" r:id="rId2433" display="http://www.plants.usda.gov/java/profile?symbol=SALU2"/>
    <hyperlink ref="G1613" r:id="rId2434" display="http://www.plants.usda.gov/java/profile?symbol=SANI"/>
    <hyperlink ref="G1629" r:id="rId2435" display="http://www.plants.usda.gov/java/profile?symbol=SAPE2"/>
    <hyperlink ref="G1636" r:id="rId2436" display="http://www.plants.usda.gov/java/profile?symbol=SAPE5"/>
    <hyperlink ref="G1647" r:id="rId2437" display="http://www.plants.usda.gov/java/profile?symbol=SASE"/>
    <hyperlink ref="G1653" r:id="rId2438" display="http://www.plants.usda.gov/java/profile?symbol=SANI4"/>
    <hyperlink ref="G1654" r:id="rId2439" display="http://www.plants.usda.gov/java/profile?symbol=SANIC4"/>
    <hyperlink ref="G1663" r:id="rId2440" display="http://www.plants.usda.gov/java/profile?symbol=SARA2"/>
    <hyperlink ref="G1664" r:id="rId2441" display="http://www.plants.usda.gov/java/profile?symbol=SARAR3"/>
    <hyperlink ref="G1675" r:id="rId2442" display="http://www.plants.usda.gov/java/profile?symbol=SAAL5"/>
    <hyperlink ref="G1682" r:id="rId2443" display="http://www.plants.usda.gov/java/profile?symbol=SCMA2"/>
    <hyperlink ref="G1683" r:id="rId2444" display="http://www.plants.usda.gov/java/profile?symbol=SEMA11"/>
    <hyperlink ref="G1688" r:id="rId2445" display="http://www.plants.usda.gov/java/profile?symbol=SHAR"/>
    <hyperlink ref="G1691" r:id="rId2446" display="http://www.plants.usda.gov/java/profile?symbol=SITR3"/>
    <hyperlink ref="G1693" r:id="rId2447" display="http://www.plants.usda.gov/java/profile?symbol=SISP"/>
    <hyperlink ref="G1697" r:id="rId2448" display="http://www.plants.usda.gov/java/profile?symbol=SMRO"/>
    <hyperlink ref="G1700" r:id="rId2449" display="http://www.plants.usda.gov/java/profile?symbol=SMTA2"/>
    <hyperlink ref="G1705" r:id="rId2450" display="http://www.plants.usda.gov/java/profile?symbol=SOCA3"/>
    <hyperlink ref="G1706" r:id="rId2451" display="http://www.plants.usda.gov/java/profile?symbol=SOCAC4"/>
    <hyperlink ref="G1707" r:id="rId2452" display="http://www.plants.usda.gov/java/profile?symbol=SODE3"/>
    <hyperlink ref="G1710" r:id="rId2453" display="http://www.plants.usda.gov/java/profile?symbol=SPCO"/>
    <hyperlink ref="G1711" r:id="rId2454" display="http://www.plants.usda.gov/java/profile?symbol=SPCOC"/>
    <hyperlink ref="G1715" r:id="rId2455" display="http://www.plants.usda.gov/java/profile?symbol=SPAL2"/>
    <hyperlink ref="G1716" r:id="rId2456" display="http://www.plants.usda.gov/java/profile?symbol=SPALA"/>
    <hyperlink ref="G1717" r:id="rId2457" display="http://www.plants.usda.gov/java/profile?symbol=STTR"/>
    <hyperlink ref="G1718" r:id="rId2458" display="http://www.plants.usda.gov/java/profile?symbol=STNI6"/>
    <hyperlink ref="G1719" r:id="rId2459" display="http://www.plants.usda.gov/java/profile?symbol=STNIN"/>
    <hyperlink ref="G1743" r:id="rId2460" display="http://www.plants.usda.gov/java/profile?symbol=SYAL"/>
    <hyperlink ref="G1744" r:id="rId2461" display="http://www.plants.usda.gov/java/profile?symbol=SYALA"/>
    <hyperlink ref="G1748" r:id="rId2462" display="http://www.plants.usda.gov/java/profile?symbol=SYOC"/>
    <hyperlink ref="G1749" r:id="rId2463" display="http://www.plants.usda.gov/java/profile?symbol=SYOR"/>
    <hyperlink ref="G1751" r:id="rId2464" display="http://www.plants.usda.gov/java/profile?symbol=SYOO"/>
    <hyperlink ref="G1752" r:id="rId2465" display="http://www.plants.usda.gov/java/profile?symbol=SYOOO"/>
    <hyperlink ref="G1756" r:id="rId2466" display="http://www.plants.usda.gov/java/profile?symbol=SYPU"/>
    <hyperlink ref="G1757" r:id="rId2467" display="http://www.plants.usda.gov/java/profile?symbol=SYPUP"/>
    <hyperlink ref="G1775" r:id="rId2468" display="http://www.plants.usda.gov/java/profile?symbol=SYTU2"/>
    <hyperlink ref="G1777" r:id="rId2469" display="http://www.plants.usda.gov/java/profile?symbol=TACA7"/>
    <hyperlink ref="G1778" r:id="rId2470" display="http://www.plants.usda.gov/java/profile?symbol=TEVI"/>
    <hyperlink ref="G1784" r:id="rId2471" display="http://www.plants.usda.gov/java/profile?symbol=THOC2"/>
    <hyperlink ref="G1789" r:id="rId2472" display="http://www.plants.usda.gov/java/profile?symbol=TIAM"/>
    <hyperlink ref="G1790" r:id="rId2473" display="http://www.plants.usda.gov/java/profile?symbol=TIAMA"/>
    <hyperlink ref="G1797" r:id="rId2474" display="http://www.plants.usda.gov/java/profile?symbol=TIAMH"/>
    <hyperlink ref="G1804" r:id="rId2475" display="http://www.plants.usda.gov/java/profile?symbol=TORA2"/>
    <hyperlink ref="G1805" r:id="rId2476" display="http://www.plants.usda.gov/java/profile?symbol=TORAN"/>
    <hyperlink ref="G1807" r:id="rId2477" display="http://www.plants.usda.gov/java/profile?symbol=TORY"/>
    <hyperlink ref="G1813" r:id="rId2478" display="http://www.plants.usda.gov/java/profile?symbol=ULAM"/>
    <hyperlink ref="G1816" r:id="rId2479" display="http://www.plants.usda.gov/java/profile?symbol=ULRU"/>
    <hyperlink ref="G1818" r:id="rId2480" display="http://www.plants.usda.gov/java/profile?symbol=ULTH"/>
    <hyperlink ref="G1820" r:id="rId2481" display="http://www.plants.usda.gov/java/profile?symbol=VAAN"/>
    <hyperlink ref="G1827" r:id="rId2482" display="http://www.plants.usda.gov/java/profile?symbol=VAMY"/>
    <hyperlink ref="G1831" r:id="rId2483" display="http://www.plants.usda.gov/java/profile?symbol=VIDE"/>
    <hyperlink ref="G1832" r:id="rId2484" display="http://www.plants.usda.gov/java/profile?symbol=VIDED4"/>
    <hyperlink ref="G1848" r:id="rId2485" display="http://www.plants.usda.gov/java/profile?symbol=VILE"/>
    <hyperlink ref="G1850" r:id="rId2486" display="http://www.plants.usda.gov/java/profile?symbol=VIMO"/>
    <hyperlink ref="G1852" r:id="rId2487" display="http://www.plants.usda.gov/java/profile?symbol=VIOP"/>
    <hyperlink ref="G1853" r:id="rId2488" display="http://www.plants.usda.gov/java/profile?symbol=VIOPA2"/>
    <hyperlink ref="G1856" r:id="rId2489" display="http://www.plants.usda.gov/java/profile?symbol=VIPR"/>
    <hyperlink ref="G1860" r:id="rId2490" display="http://www.plants.usda.gov/java/profile?symbol=VIRA"/>
    <hyperlink ref="G1865" r:id="rId2491" display="http://www.plants.usda.gov/java/profile?symbol=YUGL"/>
    <hyperlink ref="G1866" r:id="rId2492" display="http://www.plants.usda.gov/java/profile?symbol=YUGLG2"/>
    <hyperlink ref="G1868" r:id="rId2493" display="http://www.plants.usda.gov/java/profile?symbol=ZAAM"/>
    <hyperlink ref="J2" r:id="rId2494" location="sciname" tooltip="Click on Scientific Name to view more information about Scientific Name. Page opens in a new window." display="sciname"/>
    <hyperlink ref="K2" r:id="rId2495" location="common" tooltip="Click on Common Name to view more information about Common Name. Page opens in a new window." display="http://www.plants.usda.gov/about_adv_search.html - common"/>
    <hyperlink ref="J3" r:id="rId2496" display="http://www.plants.usda.gov/java/profile?symbol=ADFU"/>
    <hyperlink ref="J4" r:id="rId2497" display="http://www.plants.usda.gov/java/profile?symbol=AMCO2"/>
    <hyperlink ref="J6" r:id="rId2498" display="http://www.plants.usda.gov/java/profile?symbol=AMBR2"/>
    <hyperlink ref="J7" r:id="rId2499" display="http://www.plants.usda.gov/java/profile?symbol=AMBRB"/>
    <hyperlink ref="J9" r:id="rId2500" display="http://www.plants.usda.gov/java/profile?symbol=AMBRC"/>
    <hyperlink ref="J15" r:id="rId2501" display="http://www.plants.usda.gov/java/profile?symbol=APAM"/>
    <hyperlink ref="J18" r:id="rId2502" display="http://www.plants.usda.gov/java/profile?symbol=CAMA23"/>
    <hyperlink ref="J20" r:id="rId2503" display="http://www.plants.usda.gov/java/profile?symbol=CASE13"/>
    <hyperlink ref="J21" r:id="rId2504" display="http://www.plants.usda.gov/java/profile?symbol=CASEA2"/>
    <hyperlink ref="J26" r:id="rId2505" display="http://www.plants.usda.gov/java/profile?symbol=CASEA3"/>
    <hyperlink ref="J31" r:id="rId2506" display="http://www.plants.usda.gov/java/profile?symbol=CASI10"/>
    <hyperlink ref="J32" r:id="rId2507" display="http://www.plants.usda.gov/java/profile?symbol=CASIF"/>
    <hyperlink ref="J37" r:id="rId2508" display="http://www.plants.usda.gov/java/profile?symbol=CASP14"/>
    <hyperlink ref="J38" r:id="rId2509" display="http://www.plants.usda.gov/java/profile?symbol=CASPS2"/>
    <hyperlink ref="J40" r:id="rId2510" display="http://www.plants.usda.gov/java/profile?symbol=CASPS"/>
    <hyperlink ref="J41" r:id="rId2511" display="http://www.plants.usda.gov/java/profile?symbol=CARA2"/>
    <hyperlink ref="J44" r:id="rId2512" display="http://www.plants.usda.gov/java/profile?symbol=CESC"/>
    <hyperlink ref="J45" r:id="rId2513" display="http://www.plants.usda.gov/java/profile?symbol=CLOC2"/>
    <hyperlink ref="J46" r:id="rId2514" display="http://www.plants.usda.gov/java/profile?symbol=CLOCO"/>
    <hyperlink ref="J52" r:id="rId2515" display="http://www.plants.usda.gov/java/profile?symbol=CLPI"/>
    <hyperlink ref="J53" r:id="rId2516" display="http://www.plants.usda.gov/java/profile?symbol=CLPIP"/>
    <hyperlink ref="J58" r:id="rId2517" display="http://www.plants.usda.gov/java/profile?symbol=CLVI5"/>
    <hyperlink ref="J60" r:id="rId2518" display="http://www.plants.usda.gov/java/profile?symbol=CLMA4"/>
    <hyperlink ref="J62" r:id="rId2519" display="http://www.plants.usda.gov/java/profile?symbol=CUFO"/>
    <hyperlink ref="J64" r:id="rId2520" display="http://www.plants.usda.gov/java/profile?symbol=CUCE"/>
    <hyperlink ref="J66" r:id="rId2521" display="http://www.plants.usda.gov/java/profile?symbol=CUCO2"/>
    <hyperlink ref="J67" r:id="rId2522" display="http://www.plants.usda.gov/java/profile?symbol=CUCOC"/>
    <hyperlink ref="J68" r:id="rId2523" display="http://www.plants.usda.gov/java/profile?symbol=CUCO3"/>
    <hyperlink ref="J70" r:id="rId2524" display="http://www.plants.usda.gov/java/profile?symbol=CUCU2"/>
    <hyperlink ref="J72" r:id="rId2525" display="http://www.plants.usda.gov/java/profile?symbol=CUGL3"/>
    <hyperlink ref="J73" r:id="rId2526" display="http://www.plants.usda.gov/java/profile?symbol=CUGR"/>
    <hyperlink ref="J74" r:id="rId2527" display="http://www.plants.usda.gov/java/profile?symbol=CUGRG"/>
    <hyperlink ref="J80" r:id="rId2528" display="http://www.plants.usda.gov/java/profile?symbol=CUIN"/>
    <hyperlink ref="J81" r:id="rId2529" display="http://www.plants.usda.gov/java/profile?symbol=CUINN"/>
    <hyperlink ref="J83" r:id="rId2530" display="http://www.plants.usda.gov/java/profile?symbol=CUPE3"/>
    <hyperlink ref="J84" r:id="rId2531" display="http://www.plants.usda.gov/java/profile?symbol=CUPEP2"/>
    <hyperlink ref="J90" r:id="rId2532" display="http://www.plants.usda.gov/java/profile?symbol=CUPO"/>
    <hyperlink ref="J91" r:id="rId2533" display="http://www.plants.usda.gov/java/profile?symbol=CYLA"/>
    <hyperlink ref="J95" r:id="rId2534" display="http://www.plants.usda.gov/java/profile?symbol=DIQU"/>
    <hyperlink ref="J99" r:id="rId2535" display="http://www.plants.usda.gov/java/profile?symbol=DIVI4"/>
    <hyperlink ref="J102" r:id="rId2536" display="http://www.plants.usda.gov/java/profile?symbol=ECLO"/>
    <hyperlink ref="J105" r:id="rId2537" display="http://www.plants.usda.gov/java/profile?symbol=GAAP2"/>
    <hyperlink ref="J117" r:id="rId2538" display="http://www.plants.usda.gov/java/profile?symbol=GATR2"/>
    <hyperlink ref="J118" r:id="rId2539" display="http://www.plants.usda.gov/java/profile?symbol=GATRT5"/>
    <hyperlink ref="J120" r:id="rId2540" display="http://www.plants.usda.gov/java/profile?symbol=GATR3"/>
    <hyperlink ref="J125" r:id="rId2541" display="http://www.plants.usda.gov/java/profile?symbol=HULU"/>
    <hyperlink ref="J126" r:id="rId2542" display="http://www.plants.usda.gov/java/profile?symbol=HULUL"/>
    <hyperlink ref="J129" r:id="rId2543" display="http://www.plants.usda.gov/java/profile?symbol=HULUP"/>
    <hyperlink ref="J130" r:id="rId2544" display="http://www.plants.usda.gov/java/profile?symbol=IPCR"/>
    <hyperlink ref="J131" r:id="rId2545" display="http://www.plants.usda.gov/java/profile?symbol=IPHE"/>
    <hyperlink ref="J139" r:id="rId2546" display="http://www.plants.usda.gov/java/profile?symbol=IPLA"/>
    <hyperlink ref="J140" r:id="rId2547" display="http://www.plants.usda.gov/java/profile?symbol=IPPA"/>
    <hyperlink ref="J142" r:id="rId2548" display="http://www.plants.usda.gov/java/profile?symbol=LAOC2"/>
    <hyperlink ref="J143" r:id="rId2549" display="http://www.plants.usda.gov/java/profile?symbol=LAPA4"/>
    <hyperlink ref="J153" r:id="rId2550" display="http://www.plants.usda.gov/java/profile?symbol=LAVE"/>
    <hyperlink ref="J159" r:id="rId2551" display="http://www.plants.usda.gov/java/profile?symbol=LODI2"/>
    <hyperlink ref="J165" r:id="rId2552" display="http://www.plants.usda.gov/java/profile?symbol=LORE5"/>
    <hyperlink ref="J169" r:id="rId2553" display="http://www.plants.usda.gov/java/profile?symbol=LOSE"/>
    <hyperlink ref="J174" r:id="rId2554" display="http://www.plants.usda.gov/java/profile?symbol=MECA3"/>
    <hyperlink ref="J175" r:id="rId2555" display="http://www.plants.usda.gov/java/profile?symbol=PAQU2"/>
    <hyperlink ref="J189" r:id="rId2556" display="http://www.plants.usda.gov/java/profile?symbol=PAVI5"/>
    <hyperlink ref="J190" r:id="rId2557" display="http://www.plants.usda.gov/java/profile?symbol=PHPO2"/>
    <hyperlink ref="J191" r:id="rId2558" display="http://www.plants.usda.gov/java/profile?symbol=PHPOP"/>
    <hyperlink ref="J194" r:id="rId2559" display="http://www.plants.usda.gov/java/profile?symbol=POSA5"/>
    <hyperlink ref="J200" r:id="rId2560" display="http://www.plants.usda.gov/java/profile?symbol=POSC3"/>
    <hyperlink ref="J201" r:id="rId2561" display="http://www.plants.usda.gov/java/profile?symbol=POSCC"/>
    <hyperlink ref="J207" r:id="rId2562" display="http://www.plants.usda.gov/java/profile?symbol=POSCD"/>
    <hyperlink ref="J212" r:id="rId2563" display="http://www.plants.usda.gov/java/profile?symbol=ROSE2"/>
    <hyperlink ref="J213" r:id="rId2564" display="http://www.plants.usda.gov/java/profile?symbol=ROSET"/>
    <hyperlink ref="J214" r:id="rId2565" display="http://www.plants.usda.gov/java/profile?symbol=SIAN"/>
    <hyperlink ref="J215" r:id="rId2566" display="http://www.plants.usda.gov/java/profile?symbol=SMEC"/>
    <hyperlink ref="J217" r:id="rId2567" display="http://www.plants.usda.gov/java/profile?symbol=SMHE"/>
    <hyperlink ref="J219" r:id="rId2568" display="http://www.plants.usda.gov/java/profile?symbol=SMIL"/>
    <hyperlink ref="J220" r:id="rId2569" display="http://www.plants.usda.gov/java/profile?symbol=SMLA3"/>
    <hyperlink ref="J223" r:id="rId2570" display="http://www.plants.usda.gov/java/profile?symbol=SMRO"/>
    <hyperlink ref="J226" r:id="rId2571" display="http://www.plants.usda.gov/java/profile?symbol=SMTA2"/>
    <hyperlink ref="J231" r:id="rId2572" display="http://www.plants.usda.gov/java/profile?symbol=STHE9"/>
    <hyperlink ref="J234" r:id="rId2573" display="http://www.plants.usda.gov/java/profile?symbol=STLE6"/>
    <hyperlink ref="J237" r:id="rId2574" display="http://www.plants.usda.gov/java/profile?symbol=STPI3"/>
    <hyperlink ref="J238" r:id="rId2575" display="http://www.plants.usda.gov/java/profile?symbol=STPIP2"/>
    <hyperlink ref="J241" r:id="rId2576" display="http://www.plants.usda.gov/java/profile?symbol=TORA2"/>
    <hyperlink ref="J242" r:id="rId2577" display="http://www.plants.usda.gov/java/profile?symbol=TORAN"/>
    <hyperlink ref="J244" r:id="rId2578" display="http://www.plants.usda.gov/java/profile?symbol=TORY"/>
    <hyperlink ref="J250" r:id="rId2579" display="http://www.plants.usda.gov/java/profile?symbol=VIAM"/>
    <hyperlink ref="J251" r:id="rId2580" display="http://www.plants.usda.gov/java/profile?symbol=VIAMA3"/>
    <hyperlink ref="J261" r:id="rId2581" display="http://www.plants.usda.gov/java/profile?symbol=VIAMM3"/>
    <hyperlink ref="J270" r:id="rId2582" display="http://www.plants.usda.gov/java/profile?symbol=VIAE"/>
    <hyperlink ref="J271" r:id="rId2583" display="http://www.plants.usda.gov/java/profile?symbol=VIAEA2"/>
    <hyperlink ref="J278" r:id="rId2584" display="http://www.plants.usda.gov/java/profile?symbol=VIAEB"/>
    <hyperlink ref="J283" r:id="rId2585" display="http://www.plants.usda.gov/java/profile?symbol=VICI2"/>
    <hyperlink ref="J284" r:id="rId2586" display="http://www.plants.usda.gov/java/profile?symbol=VICIC2"/>
    <hyperlink ref="J288" r:id="rId2587" display="http://www.plants.usda.gov/java/profile?symbol=VIRI"/>
    <hyperlink ref="J294" r:id="rId2588" display="http://www.plants.usda.gov/java/profile?symbol=VIVU"/>
    <hyperlink ref="J299" r:id="rId2589" display="http://www.plants.usda.gov/java/profile?symbol=WIFR"/>
  </hyperlinks>
  <pageMargins left="0.7" right="0.7" top="0.75" bottom="0.75" header="0.3" footer="0.3"/>
  <pageSetup paperSize="5" scale="52" fitToHeight="200" orientation="landscape" r:id="rId2590"/>
  <headerFooter>
    <oddFooter>&amp;L&amp;"Arial,Bold"&amp;K06-049Iowa Natural Resources Conservation Service&amp;C&amp;"Arial,Bold"&amp;K06-049Native Seed Mix Calculator Species Name Synonyms List &amp;D&amp;R&amp;"Arial,Bold"&amp;K06-049&amp;P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35</vt:i4>
      </vt:variant>
    </vt:vector>
  </HeadingPairs>
  <TitlesOfParts>
    <vt:vector size="47" baseType="lpstr">
      <vt:lpstr>Instructions</vt:lpstr>
      <vt:lpstr>Calculator</vt:lpstr>
      <vt:lpstr>SeedingPlan</vt:lpstr>
      <vt:lpstr>Grasses</vt:lpstr>
      <vt:lpstr>ForbsLegumes</vt:lpstr>
      <vt:lpstr>Woody</vt:lpstr>
      <vt:lpstr>Counties</vt:lpstr>
      <vt:lpstr>NameLookup</vt:lpstr>
      <vt:lpstr>Plant Name Synonyms</vt:lpstr>
      <vt:lpstr>Pollinator Mix Check Sheet</vt:lpstr>
      <vt:lpstr>327ConservationCoverCheckSheet</vt:lpstr>
      <vt:lpstr>643Rst&amp;ManR&amp;DeclHab Check Sheet</vt:lpstr>
      <vt:lpstr>American_Beakgrain</vt:lpstr>
      <vt:lpstr>Arctic_Brome</vt:lpstr>
      <vt:lpstr>Common_Name</vt:lpstr>
      <vt:lpstr>County_List</vt:lpstr>
      <vt:lpstr>County_Lookup</vt:lpstr>
      <vt:lpstr>Calculator!Criteria</vt:lpstr>
      <vt:lpstr>ForbsLegumes!Criteria</vt:lpstr>
      <vt:lpstr>Grasses!Criteria</vt:lpstr>
      <vt:lpstr>Woody!Criteria</vt:lpstr>
      <vt:lpstr>ForbsLegumes!Extract</vt:lpstr>
      <vt:lpstr>Grasses!Extract</vt:lpstr>
      <vt:lpstr>Woody!Extract</vt:lpstr>
      <vt:lpstr>Forb_Select</vt:lpstr>
      <vt:lpstr>Forb_Table</vt:lpstr>
      <vt:lpstr>Calculator!Grass_Select</vt:lpstr>
      <vt:lpstr>Grass_Select</vt:lpstr>
      <vt:lpstr>Grass_Table</vt:lpstr>
      <vt:lpstr>'327ConservationCoverCheckSheet'!Print_Area</vt:lpstr>
      <vt:lpstr>'643Rst&amp;ManR&amp;DeclHab Check Sheet'!Print_Area</vt:lpstr>
      <vt:lpstr>Calculator!Print_Area</vt:lpstr>
      <vt:lpstr>ForbsLegumes!Print_Area</vt:lpstr>
      <vt:lpstr>Grasses!Print_Area</vt:lpstr>
      <vt:lpstr>Instructions!Print_Area</vt:lpstr>
      <vt:lpstr>NameLookup!Print_Area</vt:lpstr>
      <vt:lpstr>'Plant Name Synonyms'!Print_Area</vt:lpstr>
      <vt:lpstr>'Pollinator Mix Check Sheet'!Print_Area</vt:lpstr>
      <vt:lpstr>SeedingPlan!Print_Area</vt:lpstr>
      <vt:lpstr>Woody!Print_Area</vt:lpstr>
      <vt:lpstr>ForbsLegumes!Print_Titles</vt:lpstr>
      <vt:lpstr>Grasses!Print_Titles</vt:lpstr>
      <vt:lpstr>NameLookup!Print_Titles</vt:lpstr>
      <vt:lpstr>'Plant Name Synonyms'!Print_Titles</vt:lpstr>
      <vt:lpstr>Woody!Print_Titles</vt:lpstr>
      <vt:lpstr>Woody_Select</vt:lpstr>
      <vt:lpstr>Woody_Table</vt:lpstr>
    </vt:vector>
  </TitlesOfParts>
  <Company>USDA-NRCS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Iowa NRCS Native Seed Calculator</dc:title>
  <dc:creator>Jennifer Anderson-Cruz</dc:creator>
  <cp:lastModifiedBy>Alan.Ehley</cp:lastModifiedBy>
  <cp:lastPrinted>2011-03-24T19:27:48Z</cp:lastPrinted>
  <dcterms:created xsi:type="dcterms:W3CDTF">1999-01-23T14:28:12Z</dcterms:created>
  <dcterms:modified xsi:type="dcterms:W3CDTF">2011-05-02T16:09:35Z</dcterms:modified>
</cp:coreProperties>
</file>