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20" windowWidth="14220" windowHeight="7305"/>
  </bookViews>
  <sheets>
    <sheet name="Design" sheetId="3" r:id="rId1"/>
    <sheet name="Instructions" sheetId="7" r:id="rId2"/>
    <sheet name="Fig 5 tabulated" sheetId="1" r:id="rId3"/>
    <sheet name="Fig 7 tabulated" sheetId="4" r:id="rId4"/>
    <sheet name="Fig 9 tabulated " sheetId="5" r:id="rId5"/>
    <sheet name="Aluminum Structure Sizes" sheetId="6" r:id="rId6"/>
    <sheet name="Info" sheetId="8" r:id="rId7"/>
  </sheets>
  <externalReferences>
    <externalReference r:id="rId8"/>
  </externalReferences>
  <definedNames>
    <definedName name="Chw">Design!$K$17</definedName>
    <definedName name="Cw">Design!$K$16</definedName>
    <definedName name="D">Design!$F$6</definedName>
    <definedName name="DesignFlow">Design!$F$5</definedName>
    <definedName name="DesignFlowSubmerged" localSheetId="5">'[1]Submerged Outlet'!$D$25</definedName>
    <definedName name="DesignFlowSubmerged" localSheetId="6">'[1]Submerged Outlet'!$D$25</definedName>
    <definedName name="DesignFlowSubmerged" localSheetId="1">'[1]Submerged Outlet'!$D$25</definedName>
    <definedName name="DesignFlowSubmerged">Design!$F$5</definedName>
    <definedName name="F">Design!$F$6</definedName>
    <definedName name="H">Design!$F$10</definedName>
    <definedName name="Htwo">Design!$K$18</definedName>
    <definedName name="L">Design!$F$8</definedName>
    <definedName name="_xlnm.Print_Area" localSheetId="0">Design!$A$1:$M$90</definedName>
    <definedName name="_xlnm.Print_Titles" localSheetId="0">Design!$1:$3</definedName>
    <definedName name="_xlnm.Print_Titles" localSheetId="1">Instructions!$1:$1</definedName>
    <definedName name="slo" localSheetId="3">'Fig 7 tabulated'!#REF!</definedName>
    <definedName name="slo" localSheetId="4">'Fig 9 tabulated '!#REF!</definedName>
    <definedName name="slo">'Fig 5 tabulated'!#REF!</definedName>
    <definedName name="sloa">'Fig 5 tabulated'!#REF!</definedName>
    <definedName name="W">Design!$F$7</definedName>
    <definedName name="Wb">Design!$F$11</definedName>
    <definedName name="wcl">'Fig 9 tabulated '!$R$39</definedName>
    <definedName name="x" localSheetId="3">'Fig 7 tabulated'!$A$34</definedName>
    <definedName name="x" localSheetId="4">'Fig 9 tabulated '!$A$34</definedName>
    <definedName name="x">'Fig 5 tabulated'!$F$46</definedName>
    <definedName name="xexpon" localSheetId="4">'Fig 9 tabulated '!$P$41</definedName>
    <definedName name="xexpon">'Fig 7 tabulated'!$S$41</definedName>
    <definedName name="y" localSheetId="3">'Fig 7 tabulated'!$B$34</definedName>
    <definedName name="y" localSheetId="4">'Fig 9 tabulated '!$C$34</definedName>
    <definedName name="y">'Fig 5 tabulated'!$G$46</definedName>
    <definedName name="yconstant" localSheetId="4">'Fig 9 tabulated '!$Q$41</definedName>
    <definedName name="yconstant">'Fig 7 tabulated'!$T$41</definedName>
  </definedNames>
  <calcPr calcId="125725"/>
</workbook>
</file>

<file path=xl/calcChain.xml><?xml version="1.0" encoding="utf-8"?>
<calcChain xmlns="http://schemas.openxmlformats.org/spreadsheetml/2006/main">
  <c r="O35" i="5"/>
  <c r="Q34" i="4"/>
  <c r="Q34" i="1"/>
  <c r="L3" i="3"/>
  <c r="J1" i="7"/>
  <c r="Q1" i="1"/>
  <c r="Q1" i="4"/>
  <c r="O1" i="5"/>
  <c r="L1" i="6"/>
  <c r="P20" i="3"/>
  <c r="O23"/>
  <c r="P23" s="1"/>
  <c r="O22"/>
  <c r="P22" s="1"/>
  <c r="O21"/>
  <c r="P21" s="1"/>
  <c r="T3"/>
  <c r="T2" s="1"/>
  <c r="F13"/>
  <c r="L8" s="1"/>
  <c r="M8" s="1"/>
  <c r="F12"/>
  <c r="L6"/>
  <c r="H12" s="1"/>
  <c r="H7"/>
  <c r="V19"/>
  <c r="W19"/>
  <c r="X19"/>
  <c r="Y19"/>
  <c r="U19"/>
  <c r="U2"/>
  <c r="V2"/>
  <c r="W2"/>
  <c r="X2"/>
  <c r="Y2"/>
  <c r="B37" i="1"/>
  <c r="X9" i="3"/>
  <c r="AA14"/>
  <c r="AA13"/>
  <c r="AA12"/>
  <c r="AA11"/>
  <c r="AA10"/>
  <c r="AA9"/>
  <c r="AA8"/>
  <c r="AA7"/>
  <c r="AA6"/>
  <c r="AA5"/>
  <c r="Y10"/>
  <c r="Y9"/>
  <c r="Z11"/>
  <c r="Z10"/>
  <c r="Z9"/>
  <c r="Z8"/>
  <c r="Z7"/>
  <c r="Z6"/>
  <c r="Z5"/>
  <c r="Z4"/>
  <c r="Z3"/>
  <c r="Z2" s="1"/>
  <c r="O18"/>
  <c r="O17"/>
  <c r="C45" i="6"/>
  <c r="C44"/>
  <c r="C43"/>
  <c r="C42"/>
  <c r="C41"/>
  <c r="C40"/>
  <c r="C39"/>
  <c r="C38"/>
  <c r="C37"/>
  <c r="C36"/>
  <c r="C35"/>
  <c r="C34"/>
  <c r="C33"/>
  <c r="C32"/>
  <c r="C31"/>
  <c r="C30"/>
  <c r="C29"/>
  <c r="C28"/>
  <c r="C27"/>
  <c r="C26"/>
  <c r="C25"/>
  <c r="C24"/>
  <c r="C23"/>
  <c r="C22"/>
  <c r="C21"/>
  <c r="C20"/>
  <c r="C19"/>
  <c r="C18"/>
  <c r="C17"/>
  <c r="C16"/>
  <c r="G15"/>
  <c r="C15"/>
  <c r="G14"/>
  <c r="C14"/>
  <c r="G13"/>
  <c r="C13"/>
  <c r="G12"/>
  <c r="C12"/>
  <c r="G11"/>
  <c r="C11"/>
  <c r="G10"/>
  <c r="C10"/>
  <c r="G9"/>
  <c r="C9"/>
  <c r="G8"/>
  <c r="C8"/>
  <c r="G7"/>
  <c r="C7"/>
  <c r="G6"/>
  <c r="C6"/>
  <c r="G5"/>
  <c r="C5"/>
  <c r="P24" i="3" l="1"/>
  <c r="H11" s="1"/>
  <c r="M6"/>
  <c r="Q17"/>
  <c r="H10" s="1"/>
  <c r="Z19"/>
  <c r="M38" i="1"/>
  <c r="M37"/>
  <c r="K41"/>
  <c r="B48" i="5"/>
  <c r="A36" i="3"/>
  <c r="A40" s="1"/>
  <c r="M42"/>
  <c r="F22"/>
  <c r="F23" s="1"/>
  <c r="F24" s="1"/>
  <c r="AA3"/>
  <c r="O14" s="1"/>
  <c r="P14" s="1"/>
  <c r="AA4"/>
  <c r="F9"/>
  <c r="L7" s="1"/>
  <c r="M7" l="1"/>
  <c r="H13"/>
  <c r="O6"/>
  <c r="P6" s="1"/>
  <c r="AA2"/>
  <c r="AB2" s="1"/>
  <c r="Q4" s="1"/>
  <c r="H9"/>
  <c r="E52" i="5"/>
  <c r="E48" i="4"/>
  <c r="H45" s="1"/>
  <c r="I45" s="1"/>
  <c r="C48" i="5"/>
  <c r="O8" i="3"/>
  <c r="P8" s="1"/>
  <c r="O12"/>
  <c r="P12" s="1"/>
  <c r="G50" i="1"/>
  <c r="G40" i="3"/>
  <c r="A37"/>
  <c r="A39"/>
  <c r="G36"/>
  <c r="A38"/>
  <c r="O10"/>
  <c r="P10" s="1"/>
  <c r="O5"/>
  <c r="P5" s="1"/>
  <c r="O9"/>
  <c r="P9" s="1"/>
  <c r="O4"/>
  <c r="P4" s="1"/>
  <c r="O13"/>
  <c r="P13" s="1"/>
  <c r="O11"/>
  <c r="P11" s="1"/>
  <c r="O7"/>
  <c r="P7" s="1"/>
  <c r="P15" l="1"/>
  <c r="I46" i="4"/>
  <c r="J45"/>
  <c r="F49" i="5"/>
  <c r="G49" s="1"/>
  <c r="K49"/>
  <c r="A48"/>
  <c r="N50" s="1"/>
  <c r="D48" i="4"/>
  <c r="K46" s="1"/>
  <c r="K47" s="1"/>
  <c r="F50" i="1"/>
  <c r="G37" i="3"/>
  <c r="G38"/>
  <c r="G39"/>
  <c r="L49" i="5" l="1"/>
  <c r="M49" s="1"/>
  <c r="N51"/>
  <c r="G51"/>
  <c r="G50"/>
  <c r="H6" i="3"/>
  <c r="H8"/>
  <c r="M46" i="1"/>
  <c r="H49" i="5"/>
  <c r="J45" i="1"/>
  <c r="K38"/>
  <c r="L38"/>
  <c r="K39"/>
  <c r="L39"/>
  <c r="K40"/>
  <c r="L37"/>
  <c r="B38"/>
  <c r="C38"/>
  <c r="D38"/>
  <c r="E38"/>
  <c r="F38"/>
  <c r="G38"/>
  <c r="H38"/>
  <c r="I38"/>
  <c r="J38"/>
  <c r="B39"/>
  <c r="C39"/>
  <c r="D39"/>
  <c r="E39"/>
  <c r="F39"/>
  <c r="G39"/>
  <c r="H39"/>
  <c r="I39"/>
  <c r="J39"/>
  <c r="B40"/>
  <c r="C40"/>
  <c r="D40"/>
  <c r="E40"/>
  <c r="F40"/>
  <c r="G40"/>
  <c r="H40"/>
  <c r="I40"/>
  <c r="J40"/>
  <c r="B41"/>
  <c r="C41"/>
  <c r="D41"/>
  <c r="E41"/>
  <c r="F41"/>
  <c r="G41"/>
  <c r="H41"/>
  <c r="I41"/>
  <c r="J41"/>
  <c r="C37"/>
  <c r="D37"/>
  <c r="E37"/>
  <c r="F37"/>
  <c r="G37"/>
  <c r="H37"/>
  <c r="I37"/>
  <c r="J37"/>
  <c r="K37"/>
  <c r="M51" i="5" l="1"/>
  <c r="M53"/>
  <c r="M52"/>
  <c r="L53"/>
  <c r="L52"/>
  <c r="K52" s="1"/>
  <c r="L51"/>
  <c r="K45" i="1"/>
  <c r="L45" s="1"/>
  <c r="L46" s="1"/>
  <c r="H51" i="5"/>
  <c r="H50"/>
  <c r="F50" s="1"/>
  <c r="M47" i="1"/>
  <c r="I49" i="4"/>
  <c r="K50" i="1" l="1"/>
  <c r="K51" i="5"/>
  <c r="K53"/>
  <c r="K49" i="1"/>
  <c r="K47"/>
  <c r="K48"/>
  <c r="K46"/>
  <c r="J46" s="1"/>
  <c r="F51" i="5"/>
  <c r="J49" i="4"/>
  <c r="H49" s="1"/>
  <c r="I47"/>
  <c r="I48"/>
  <c r="L49" i="1"/>
  <c r="J49" s="1"/>
  <c r="L47"/>
  <c r="J47" s="1"/>
  <c r="L50"/>
  <c r="L48"/>
  <c r="J50" l="1"/>
  <c r="O51" i="5"/>
  <c r="J48" i="1"/>
  <c r="N47" s="1"/>
  <c r="F52" i="5"/>
  <c r="K50" s="1"/>
  <c r="O50" s="1"/>
  <c r="N46" i="1"/>
  <c r="J48" i="4"/>
  <c r="H48" s="1"/>
  <c r="J46"/>
  <c r="H46" s="1"/>
  <c r="J47"/>
  <c r="H47" s="1"/>
  <c r="N55" i="5" l="1"/>
  <c r="E18" i="3" s="1"/>
  <c r="Q47" i="1"/>
  <c r="E16" i="3" s="1"/>
  <c r="K16" s="1"/>
  <c r="B39" s="1"/>
  <c r="L47" i="4"/>
  <c r="B38" i="3" l="1"/>
  <c r="B40"/>
  <c r="F25"/>
  <c r="B37"/>
  <c r="B36"/>
  <c r="L46" i="4"/>
  <c r="O47" l="1"/>
  <c r="E17" i="3" s="1"/>
  <c r="K17" s="1"/>
  <c r="K18"/>
  <c r="F26" l="1"/>
  <c r="C36"/>
  <c r="D36" s="1"/>
  <c r="R35" s="1"/>
  <c r="C37"/>
  <c r="D37" s="1"/>
  <c r="C38"/>
  <c r="D38" s="1"/>
  <c r="C39"/>
  <c r="D39" s="1"/>
  <c r="C40"/>
  <c r="D40" s="1"/>
  <c r="F27" l="1"/>
  <c r="H28" s="1"/>
  <c r="H26"/>
  <c r="H25"/>
  <c r="R36"/>
  <c r="E40"/>
  <c r="H40" s="1"/>
  <c r="I40" s="1"/>
  <c r="J40" s="1"/>
  <c r="E38"/>
  <c r="H38" s="1"/>
  <c r="I38" s="1"/>
  <c r="J38" s="1"/>
  <c r="K38" s="1"/>
  <c r="L38" s="1"/>
  <c r="E36"/>
  <c r="H36" s="1"/>
  <c r="I36" s="1"/>
  <c r="J36" s="1"/>
  <c r="K36" s="1"/>
  <c r="L36" s="1"/>
  <c r="O33"/>
  <c r="E39"/>
  <c r="H39" s="1"/>
  <c r="I39" s="1"/>
  <c r="J39" s="1"/>
  <c r="K39" s="1"/>
  <c r="L39" s="1"/>
  <c r="E37"/>
  <c r="H37" s="1"/>
  <c r="I37" s="1"/>
  <c r="J37" s="1"/>
  <c r="K37" s="1"/>
  <c r="L37" s="1"/>
  <c r="H27" l="1"/>
  <c r="K40"/>
  <c r="M39"/>
  <c r="M36"/>
  <c r="M38"/>
  <c r="R38" s="1"/>
  <c r="M37"/>
  <c r="R37" l="1"/>
  <c r="L40"/>
  <c r="M40" s="1"/>
  <c r="R39" s="1"/>
  <c r="T15"/>
  <c r="R40" l="1"/>
  <c r="M41" s="1"/>
  <c r="J42" s="1"/>
</calcChain>
</file>

<file path=xl/comments1.xml><?xml version="1.0" encoding="utf-8"?>
<comments xmlns="http://schemas.openxmlformats.org/spreadsheetml/2006/main">
  <authors>
    <author>jean.sandstrom</author>
    <author>Norman Friedrich</author>
  </authors>
  <commentList>
    <comment ref="K6" authorId="0">
      <text>
        <r>
          <rPr>
            <sz val="8"/>
            <color indexed="81"/>
            <rFont val="Tahoma"/>
            <family val="2"/>
          </rPr>
          <t>Max. D/W = 0.625 (max. range of model study data)</t>
        </r>
      </text>
    </comment>
    <comment ref="E7" authorId="0">
      <text>
        <r>
          <rPr>
            <sz val="8"/>
            <color indexed="81"/>
            <rFont val="Tahoma"/>
            <family val="2"/>
          </rPr>
          <t>W limited to 16' for D&gt;4' based on material strength for corrugated aluminum structures.</t>
        </r>
      </text>
    </comment>
    <comment ref="K7" authorId="0">
      <text>
        <r>
          <rPr>
            <sz val="8"/>
            <color indexed="81"/>
            <rFont val="Tahoma"/>
            <family val="2"/>
          </rPr>
          <t xml:space="preserve"> Model study data is incomplete for headwall control when B/W&gt;0.5.  Keep B/W less than 0.5 where possible, and as close to zero as possible. Hydraulic efficiency increases as B/W decreases. </t>
        </r>
      </text>
    </comment>
    <comment ref="K8" authorId="0">
      <text>
        <r>
          <rPr>
            <sz val="8"/>
            <color indexed="81"/>
            <rFont val="Tahoma"/>
            <family val="2"/>
          </rPr>
          <t>Best hydraulic efficiency if Wc/L &gt; 1.3. If Wc/L &lt; 1, nappe tends to spring over apron, causing more erosion in outlet channel. 
See Fig. 5 (separate tab).</t>
        </r>
      </text>
    </comment>
    <comment ref="E11" authorId="0">
      <text>
        <r>
          <rPr>
            <sz val="8"/>
            <color indexed="81"/>
            <rFont val="Tahoma"/>
            <family val="2"/>
          </rPr>
          <t xml:space="preserve"> A wider approach channel relative to weir length (Wc/L) can increase flow capacity of the weir (up to approx. Wc/L=1.5). Wa is the additional width on either side of the weir beyond the standard width of 2D. Therefore Wu=W+4D+2Wa. </t>
        </r>
      </text>
    </comment>
    <comment ref="E22" authorId="0">
      <text>
        <r>
          <rPr>
            <sz val="8"/>
            <color indexed="81"/>
            <rFont val="Tahoma"/>
            <family val="2"/>
          </rPr>
          <t xml:space="preserve">Provides for 10% variation in head for a given flow rate.
</t>
        </r>
      </text>
    </comment>
    <comment ref="E23" authorId="1">
      <text>
        <r>
          <rPr>
            <sz val="10"/>
            <color indexed="81"/>
            <rFont val="Tahoma"/>
            <family val="2"/>
          </rPr>
          <t>Larger of Model based freeboard and State/User set freeboard</t>
        </r>
      </text>
    </comment>
    <comment ref="K35" authorId="0">
      <text>
        <r>
          <rPr>
            <sz val="8"/>
            <color indexed="81"/>
            <rFont val="Tahoma"/>
            <family val="2"/>
          </rPr>
          <t>Provides for 12% variation in head for a given flow rate.</t>
        </r>
      </text>
    </comment>
    <comment ref="L35" authorId="1">
      <text>
        <r>
          <rPr>
            <sz val="8"/>
            <color indexed="81"/>
            <rFont val="Tahoma"/>
            <family val="2"/>
          </rPr>
          <t>Larger of Model based freeboard and State/User set freeboard</t>
        </r>
      </text>
    </comment>
  </commentList>
</comments>
</file>

<file path=xl/sharedStrings.xml><?xml version="1.0" encoding="utf-8"?>
<sst xmlns="http://schemas.openxmlformats.org/spreadsheetml/2006/main" count="273" uniqueCount="194">
  <si>
    <t>Wc/L</t>
  </si>
  <si>
    <t>B/W</t>
  </si>
  <si>
    <t>W</t>
  </si>
  <si>
    <t>L</t>
  </si>
  <si>
    <t>B</t>
  </si>
  <si>
    <t>C1=</t>
  </si>
  <si>
    <t>C1</t>
  </si>
  <si>
    <t>D/W</t>
  </si>
  <si>
    <t>C2</t>
  </si>
  <si>
    <t>Project:</t>
  </si>
  <si>
    <t>Computed by:</t>
  </si>
  <si>
    <t>JLS</t>
  </si>
  <si>
    <t>Date:</t>
  </si>
  <si>
    <t>Location:</t>
  </si>
  <si>
    <t>Shelby Co.</t>
  </si>
  <si>
    <t>Checked by:</t>
  </si>
  <si>
    <t>Semicircular-Inlet Drop Structure Hydraulics</t>
  </si>
  <si>
    <t>D =</t>
  </si>
  <si>
    <t>Drop =</t>
  </si>
  <si>
    <t>ft</t>
  </si>
  <si>
    <t>D/W =</t>
  </si>
  <si>
    <t>W =</t>
  </si>
  <si>
    <t>HW opening =</t>
  </si>
  <si>
    <t>B/W =</t>
  </si>
  <si>
    <t>L =</t>
  </si>
  <si>
    <t>Weir length =</t>
  </si>
  <si>
    <t>Wc/L =</t>
  </si>
  <si>
    <t>B =</t>
  </si>
  <si>
    <t>Wc =</t>
  </si>
  <si>
    <t>H=</t>
  </si>
  <si>
    <t>Weir notch height =</t>
  </si>
  <si>
    <t>Qdesign=</t>
  </si>
  <si>
    <t>cfs</t>
  </si>
  <si>
    <t>State/User set freeboard=</t>
  </si>
  <si>
    <r>
      <t>C</t>
    </r>
    <r>
      <rPr>
        <vertAlign val="subscript"/>
        <sz val="11"/>
        <color theme="1"/>
        <rFont val="Cambria"/>
        <family val="1"/>
        <scheme val="major"/>
      </rPr>
      <t>weir</t>
    </r>
    <r>
      <rPr>
        <sz val="11"/>
        <color theme="1"/>
        <rFont val="Cambria"/>
        <family val="1"/>
        <scheme val="major"/>
      </rPr>
      <t xml:space="preserve"> =</t>
    </r>
  </si>
  <si>
    <t>C for weir control =</t>
  </si>
  <si>
    <r>
      <t>C</t>
    </r>
    <r>
      <rPr>
        <vertAlign val="subscript"/>
        <sz val="11"/>
        <color theme="1"/>
        <rFont val="Calibri"/>
        <family val="2"/>
        <scheme val="minor"/>
      </rPr>
      <t>hw</t>
    </r>
    <r>
      <rPr>
        <sz val="11"/>
        <color theme="1"/>
        <rFont val="Calibri"/>
        <family val="2"/>
        <scheme val="minor"/>
      </rPr>
      <t xml:space="preserve"> =</t>
    </r>
  </si>
  <si>
    <t>C headwall control =</t>
  </si>
  <si>
    <r>
      <t>H</t>
    </r>
    <r>
      <rPr>
        <vertAlign val="subscript"/>
        <sz val="11"/>
        <color theme="1"/>
        <rFont val="Calibri"/>
        <family val="2"/>
        <scheme val="minor"/>
      </rPr>
      <t>02</t>
    </r>
    <r>
      <rPr>
        <sz val="11"/>
        <color theme="1"/>
        <rFont val="Calibri"/>
        <family val="2"/>
        <scheme val="minor"/>
      </rPr>
      <t xml:space="preserve"> =</t>
    </r>
  </si>
  <si>
    <t>apparent HW bottom =</t>
  </si>
  <si>
    <r>
      <t>Model based Freeboard</t>
    </r>
    <r>
      <rPr>
        <sz val="11"/>
        <rFont val="Calibri"/>
        <family val="2"/>
        <scheme val="minor"/>
      </rPr>
      <t>**</t>
    </r>
    <r>
      <rPr>
        <sz val="11"/>
        <color theme="1"/>
        <rFont val="Calibri"/>
        <family val="2"/>
        <scheme val="minor"/>
      </rPr>
      <t xml:space="preserve"> =</t>
    </r>
  </si>
  <si>
    <r>
      <t>FB</t>
    </r>
    <r>
      <rPr>
        <vertAlign val="subscript"/>
        <sz val="11"/>
        <color theme="1"/>
        <rFont val="Calibri"/>
        <family val="2"/>
        <scheme val="minor"/>
      </rPr>
      <t>m</t>
    </r>
    <r>
      <rPr>
        <sz val="11"/>
        <color theme="1"/>
        <rFont val="Calibri"/>
        <family val="2"/>
        <scheme val="minor"/>
      </rPr>
      <t>=</t>
    </r>
  </si>
  <si>
    <t>Freeboard Depth Used =</t>
  </si>
  <si>
    <t>FB =</t>
  </si>
  <si>
    <t>Available Flow Depth =</t>
  </si>
  <si>
    <t>Hf =</t>
  </si>
  <si>
    <t>Weir Control Flow Capacity =</t>
  </si>
  <si>
    <r>
      <t>Q</t>
    </r>
    <r>
      <rPr>
        <vertAlign val="subscript"/>
        <sz val="11"/>
        <color theme="1"/>
        <rFont val="Calibri"/>
        <family val="2"/>
        <scheme val="minor"/>
      </rPr>
      <t>weir</t>
    </r>
    <r>
      <rPr>
        <sz val="11"/>
        <color theme="1"/>
        <rFont val="Calibri"/>
        <family val="2"/>
        <scheme val="minor"/>
      </rPr>
      <t xml:space="preserve"> =</t>
    </r>
  </si>
  <si>
    <t>Headwall Control Flow Cap. =</t>
  </si>
  <si>
    <r>
      <t>Q</t>
    </r>
    <r>
      <rPr>
        <vertAlign val="subscript"/>
        <sz val="11"/>
        <color theme="1"/>
        <rFont val="Calibri"/>
        <family val="2"/>
        <scheme val="minor"/>
      </rPr>
      <t>hw</t>
    </r>
    <r>
      <rPr>
        <sz val="11"/>
        <color theme="1"/>
        <rFont val="Calibri"/>
        <family val="2"/>
        <scheme val="minor"/>
      </rPr>
      <t xml:space="preserve"> =</t>
    </r>
  </si>
  <si>
    <t>Governing Flow for Free Outlet =</t>
  </si>
  <si>
    <t>Q =</t>
  </si>
  <si>
    <t>Available L</t>
  </si>
  <si>
    <t>Available H</t>
  </si>
  <si>
    <t>All yellow cells are user input. Use drop-downs to select structure dimensions.</t>
  </si>
  <si>
    <t>Free outlet</t>
  </si>
  <si>
    <t>Governing</t>
  </si>
  <si>
    <t>Total</t>
  </si>
  <si>
    <r>
      <t>Model based Freeboard</t>
    </r>
    <r>
      <rPr>
        <sz val="9"/>
        <rFont val="Calibri"/>
        <family val="2"/>
        <scheme val="minor"/>
      </rPr>
      <t>***</t>
    </r>
  </si>
  <si>
    <t>Freeboard Used</t>
  </si>
  <si>
    <t>Min.</t>
  </si>
  <si>
    <t>head to</t>
  </si>
  <si>
    <t>Weir</t>
  </si>
  <si>
    <t>Headwall</t>
  </si>
  <si>
    <t>flow for</t>
  </si>
  <si>
    <t>Tailwater</t>
  </si>
  <si>
    <t>head</t>
  </si>
  <si>
    <t>weir</t>
  </si>
  <si>
    <t>control</t>
  </si>
  <si>
    <t>free</t>
  </si>
  <si>
    <t>above</t>
  </si>
  <si>
    <t>submerged</t>
  </si>
  <si>
    <t>Notch</t>
  </si>
  <si>
    <t>crest</t>
  </si>
  <si>
    <t>flow</t>
  </si>
  <si>
    <t>outlet</t>
  </si>
  <si>
    <t>Q</t>
  </si>
  <si>
    <t>Depth</t>
  </si>
  <si>
    <t>FB</t>
  </si>
  <si>
    <t>Interpolated value, Hs +FB</t>
  </si>
  <si>
    <t>**Columns used as the data points for plotting the Drop Structure Outflow Capacity on page 2 of this tab.</t>
  </si>
  <si>
    <t>Q  **</t>
  </si>
  <si>
    <t>Available Wb</t>
  </si>
  <si>
    <t>C1 =</t>
  </si>
  <si>
    <t>C2 =</t>
  </si>
  <si>
    <t>C1 computed from Fig. 5* Tab:</t>
  </si>
  <si>
    <t>C2 computed from Fig. 7* Tab:</t>
  </si>
  <si>
    <r>
      <t xml:space="preserve">FREE OUTLET DESIGN </t>
    </r>
    <r>
      <rPr>
        <u/>
        <sz val="11"/>
        <color theme="1"/>
        <rFont val="Calibri"/>
        <family val="2"/>
        <scheme val="minor"/>
      </rPr>
      <t>(Tailwater depth below weir crest elevation)</t>
    </r>
  </si>
  <si>
    <r>
      <t xml:space="preserve">SUBMERGED OUTLET DESIGN </t>
    </r>
    <r>
      <rPr>
        <u/>
        <sz val="11"/>
        <color theme="1"/>
        <rFont val="Calibri"/>
        <family val="2"/>
        <scheme val="minor"/>
      </rPr>
      <t>(Tailwater depth above weir crest elevation)</t>
    </r>
  </si>
  <si>
    <t>* From "Hydraulics of Semicircular-inlet Drop Structures", model study by S. Becker &amp; G. Foster, ASAE 1993 (Figures are reproduced on separate tabs in this spreadsheet).</t>
  </si>
  <si>
    <t>U/S channel bottom width =</t>
  </si>
  <si>
    <t>Wu =</t>
  </si>
  <si>
    <t>C1 for</t>
  </si>
  <si>
    <t>Columns for</t>
  </si>
  <si>
    <t>Interpolation</t>
  </si>
  <si>
    <t>Wc/L=</t>
  </si>
  <si>
    <t>Points defining straight line portion of Fig.5:</t>
  </si>
  <si>
    <t>Values from Design Tab:</t>
  </si>
  <si>
    <t>Rows for</t>
  </si>
  <si>
    <r>
      <t>Figure 5 -- Recommended values of C</t>
    </r>
    <r>
      <rPr>
        <vertAlign val="subscript"/>
        <sz val="14"/>
        <color theme="1"/>
        <rFont val="Calibri"/>
        <family val="2"/>
        <scheme val="minor"/>
      </rPr>
      <t>1</t>
    </r>
    <r>
      <rPr>
        <sz val="14"/>
        <color theme="1"/>
        <rFont val="Calibri"/>
        <family val="2"/>
        <scheme val="minor"/>
      </rPr>
      <t xml:space="preserve"> vs. W</t>
    </r>
    <r>
      <rPr>
        <vertAlign val="subscript"/>
        <sz val="14"/>
        <color theme="1"/>
        <rFont val="Calibri"/>
        <family val="2"/>
        <scheme val="minor"/>
      </rPr>
      <t>c</t>
    </r>
    <r>
      <rPr>
        <sz val="14"/>
        <color theme="1"/>
        <rFont val="Calibri"/>
        <family val="2"/>
        <scheme val="minor"/>
      </rPr>
      <t>/L and B/W</t>
    </r>
  </si>
  <si>
    <r>
      <t xml:space="preserve">From </t>
    </r>
    <r>
      <rPr>
        <i/>
        <sz val="11"/>
        <color theme="1"/>
        <rFont val="Calibri"/>
        <family val="2"/>
        <scheme val="minor"/>
      </rPr>
      <t>Hydraulics of Semicircular-Inlet Drop Structures</t>
    </r>
  </si>
  <si>
    <t>by S. M. Becker, G. R. Foster</t>
  </si>
  <si>
    <t>Transactions of the ASAE, July/Auguest 1993, Vol. 36, No. 4</t>
  </si>
  <si>
    <t>C1 Values from Figure 5:</t>
  </si>
  <si>
    <t>C2 Values from Figure 7:</t>
  </si>
  <si>
    <t>C2 for</t>
  </si>
  <si>
    <t>D/W=</t>
  </si>
  <si>
    <r>
      <t>Figure 7 -- Recommended values of C</t>
    </r>
    <r>
      <rPr>
        <vertAlign val="subscript"/>
        <sz val="14"/>
        <color theme="1"/>
        <rFont val="Calibri"/>
        <family val="2"/>
        <scheme val="minor"/>
      </rPr>
      <t>2</t>
    </r>
    <r>
      <rPr>
        <sz val="14"/>
        <color theme="1"/>
        <rFont val="Calibri"/>
        <family val="2"/>
        <scheme val="minor"/>
      </rPr>
      <t xml:space="preserve"> vs. D/W and B/W</t>
    </r>
  </si>
  <si>
    <r>
      <t>Figure 9 -- Recommended values of H</t>
    </r>
    <r>
      <rPr>
        <vertAlign val="subscript"/>
        <sz val="14"/>
        <color theme="1"/>
        <rFont val="Calibri"/>
        <family val="2"/>
        <scheme val="minor"/>
      </rPr>
      <t>02</t>
    </r>
    <r>
      <rPr>
        <sz val="14"/>
        <color theme="1"/>
        <rFont val="Calibri"/>
        <family val="2"/>
        <scheme val="minor"/>
      </rPr>
      <t>/W vs. D/W, B/W, and W</t>
    </r>
    <r>
      <rPr>
        <vertAlign val="subscript"/>
        <sz val="14"/>
        <color theme="1"/>
        <rFont val="Calibri"/>
        <family val="2"/>
        <scheme val="minor"/>
      </rPr>
      <t>c</t>
    </r>
    <r>
      <rPr>
        <sz val="14"/>
        <color theme="1"/>
        <rFont val="Calibri"/>
        <family val="2"/>
        <scheme val="minor"/>
      </rPr>
      <t>/L</t>
    </r>
  </si>
  <si>
    <t>Note that Wc/L is not significant except when B/W = 0.</t>
  </si>
  <si>
    <t>Any combinations of D/W &amp; B/W falling outside the plotted curves are outside the range of the model</t>
  </si>
  <si>
    <t>H02/W</t>
  </si>
  <si>
    <t>for</t>
  </si>
  <si>
    <t>Interpolation formulas if B/W=0:</t>
  </si>
  <si>
    <t>Interpolation formulas if B/W&gt;0:</t>
  </si>
  <si>
    <r>
      <t>H</t>
    </r>
    <r>
      <rPr>
        <i/>
        <vertAlign val="subscript"/>
        <sz val="9"/>
        <rFont val="Calibri"/>
        <family val="2"/>
        <scheme val="minor"/>
      </rPr>
      <t>02</t>
    </r>
    <r>
      <rPr>
        <i/>
        <sz val="9"/>
        <rFont val="Calibri"/>
        <family val="2"/>
        <scheme val="minor"/>
      </rPr>
      <t>/W comp. from Fig. 9* Tab:</t>
    </r>
  </si>
  <si>
    <r>
      <t>H</t>
    </r>
    <r>
      <rPr>
        <vertAlign val="subscript"/>
        <sz val="11"/>
        <color theme="1"/>
        <rFont val="Calibri"/>
        <family val="2"/>
        <scheme val="minor"/>
      </rPr>
      <t>02</t>
    </r>
    <r>
      <rPr>
        <sz val="11"/>
        <color theme="1"/>
        <rFont val="Calibri"/>
        <family val="2"/>
        <scheme val="minor"/>
      </rPr>
      <t>/W=</t>
    </r>
  </si>
  <si>
    <r>
      <t>(-) sign omitted from table for clarity. All values of H</t>
    </r>
    <r>
      <rPr>
        <vertAlign val="subscript"/>
        <sz val="11"/>
        <color theme="1"/>
        <rFont val="Calibri"/>
        <family val="2"/>
        <scheme val="minor"/>
      </rPr>
      <t>02</t>
    </r>
    <r>
      <rPr>
        <sz val="11"/>
        <color theme="1"/>
        <rFont val="Calibri"/>
        <family val="2"/>
        <scheme val="minor"/>
      </rPr>
      <t>/W are negative.</t>
    </r>
  </si>
  <si>
    <r>
      <t>H</t>
    </r>
    <r>
      <rPr>
        <vertAlign val="subscript"/>
        <sz val="11"/>
        <rFont val="Calibri"/>
        <family val="2"/>
        <scheme val="minor"/>
      </rPr>
      <t>02</t>
    </r>
    <r>
      <rPr>
        <sz val="11"/>
        <rFont val="Calibri"/>
        <family val="2"/>
        <scheme val="minor"/>
      </rPr>
      <t>/W values from Figure 9:</t>
    </r>
  </si>
  <si>
    <r>
      <t>H</t>
    </r>
    <r>
      <rPr>
        <b/>
        <vertAlign val="subscript"/>
        <sz val="11"/>
        <color theme="1"/>
        <rFont val="Calibri"/>
        <family val="2"/>
        <scheme val="minor"/>
      </rPr>
      <t>02</t>
    </r>
    <r>
      <rPr>
        <b/>
        <sz val="11"/>
        <color theme="1"/>
        <rFont val="Calibri"/>
        <family val="2"/>
        <scheme val="minor"/>
      </rPr>
      <t>/W=</t>
    </r>
  </si>
  <si>
    <t>Manufactured corrugated aluminum structure information:</t>
  </si>
  <si>
    <t>Weir sizes available</t>
  </si>
  <si>
    <t xml:space="preserve">Drop and weir notch heights </t>
  </si>
  <si>
    <t>D**</t>
  </si>
  <si>
    <t>H</t>
  </si>
  <si>
    <t>Min. W</t>
  </si>
  <si>
    <t>Max. W</t>
  </si>
  <si>
    <t>** Variable "D" has also  been called "F" in literature and drawings for the smaller toewalls.</t>
  </si>
  <si>
    <t>*</t>
  </si>
  <si>
    <t>Variables of Semicircular-Inlet Drop Structure</t>
  </si>
  <si>
    <t>Semicircular-Inlet Toewall Drop Structure</t>
  </si>
  <si>
    <t>Hydraulic Design Spreadsheet</t>
  </si>
  <si>
    <t xml:space="preserve">Hydraulic capacity computations for the semicircular-inlet drop structure. Flow conditions reviewed for both Submerged outlet and Free outlet are: </t>
  </si>
  <si>
    <t>Weir control</t>
  </si>
  <si>
    <t>Headwall control</t>
  </si>
  <si>
    <t>Developed by:</t>
  </si>
  <si>
    <t>Jean L. Sandstrom, PE</t>
  </si>
  <si>
    <t>Civil Engineer, Des Moines, IA</t>
  </si>
  <si>
    <t>Richard L. Knutson, PE</t>
  </si>
  <si>
    <t>Reviewed by:</t>
  </si>
  <si>
    <t>Stephan M. Becker, PE</t>
  </si>
  <si>
    <t>State Conservation Engineer, Bozeman, MT</t>
  </si>
  <si>
    <t>Mark A. McCurdy, PE</t>
  </si>
  <si>
    <t>Program support:</t>
  </si>
  <si>
    <t>USDA Natural Resources Conservation Service</t>
  </si>
  <si>
    <t>693 Federal Bldg</t>
  </si>
  <si>
    <t>210 Walnut St</t>
  </si>
  <si>
    <t>Des Moines, Iowa 50309</t>
  </si>
  <si>
    <t>Updates</t>
  </si>
  <si>
    <t>Version 1.02</t>
  </si>
  <si>
    <t>Version 1.01</t>
  </si>
  <si>
    <t xml:space="preserve">Added warnings for B value and W value limits. </t>
  </si>
  <si>
    <t>Version 1.00</t>
  </si>
  <si>
    <t>Added interpolation to determine Minimum Weir Notch for Submerged flow.</t>
  </si>
  <si>
    <t>Civil Engineer, West Union, IA</t>
  </si>
  <si>
    <t>Added lookup tables for Figures 5, 7 &amp; 9 to eliminate reading values from graphs.</t>
  </si>
  <si>
    <t>U/S average flow width =</t>
  </si>
  <si>
    <t>Modifications to text of Instructions.</t>
  </si>
  <si>
    <t>Added D/S berm width Wb to input.</t>
  </si>
  <si>
    <t>Added Wu as U/S channel bottom width and changed Wc to equal average U/S flow width.</t>
  </si>
  <si>
    <t>V.1.02 reviewed by:</t>
  </si>
  <si>
    <t>Neal D. Struthers</t>
  </si>
  <si>
    <t>Q=</t>
  </si>
  <si>
    <t>Added dropdown lists for standard aluminum structure dimensions.</t>
  </si>
  <si>
    <t>Example</t>
  </si>
  <si>
    <t>* B values &gt; 4.0' not allowed for aluminum structures with drop height D &gt; 4.0'</t>
  </si>
  <si>
    <r>
      <t>Values for C1, C2 &amp; H</t>
    </r>
    <r>
      <rPr>
        <i/>
        <vertAlign val="subscript"/>
        <sz val="11"/>
        <color rgb="FFC00000"/>
        <rFont val="Calibri"/>
        <family val="2"/>
        <scheme val="minor"/>
      </rPr>
      <t>02</t>
    </r>
    <r>
      <rPr>
        <i/>
        <sz val="11"/>
        <color rgb="FFC00000"/>
        <rFont val="Calibri"/>
        <family val="2"/>
        <scheme val="minor"/>
      </rPr>
      <t>/W from Fig. 5, 7 &amp; 9 tabs (interpolated from tables)</t>
    </r>
  </si>
  <si>
    <r>
      <t>Enter values of H</t>
    </r>
    <r>
      <rPr>
        <i/>
        <vertAlign val="subscript"/>
        <sz val="11"/>
        <color rgb="FFC00000"/>
        <rFont val="Calibri"/>
        <family val="2"/>
        <scheme val="minor"/>
      </rPr>
      <t>t</t>
    </r>
    <r>
      <rPr>
        <i/>
        <sz val="11"/>
        <color rgb="FFC00000"/>
        <rFont val="Calibri"/>
        <family val="2"/>
        <scheme val="minor"/>
      </rPr>
      <t xml:space="preserve"> in yellow cells below based on your computed outlet channel rating curve.</t>
    </r>
  </si>
  <si>
    <r>
      <t>(g</t>
    </r>
    <r>
      <rPr>
        <vertAlign val="superscript"/>
        <sz val="10"/>
        <color theme="1"/>
        <rFont val="Calibri"/>
        <family val="2"/>
        <scheme val="minor"/>
      </rPr>
      <t>0.5</t>
    </r>
    <r>
      <rPr>
        <sz val="10"/>
        <color theme="1"/>
        <rFont val="Calibri"/>
        <family val="2"/>
        <scheme val="minor"/>
      </rPr>
      <t>*W</t>
    </r>
    <r>
      <rPr>
        <vertAlign val="superscript"/>
        <sz val="10"/>
        <color theme="1"/>
        <rFont val="Calibri"/>
        <family val="2"/>
        <scheme val="minor"/>
      </rPr>
      <t>2.5</t>
    </r>
    <r>
      <rPr>
        <sz val="10"/>
        <color theme="1"/>
        <rFont val="Calibri"/>
        <family val="2"/>
        <scheme val="minor"/>
      </rPr>
      <t>)</t>
    </r>
  </si>
  <si>
    <t>Hf  **</t>
  </si>
  <si>
    <t>FBm</t>
  </si>
  <si>
    <r>
      <t>Q</t>
    </r>
    <r>
      <rPr>
        <vertAlign val="subscript"/>
        <sz val="10"/>
        <color theme="1"/>
        <rFont val="Calibri"/>
        <family val="2"/>
        <scheme val="minor"/>
      </rPr>
      <t>weir</t>
    </r>
  </si>
  <si>
    <r>
      <t>Q</t>
    </r>
    <r>
      <rPr>
        <vertAlign val="subscript"/>
        <sz val="10"/>
        <color theme="1"/>
        <rFont val="Calibri"/>
        <family val="2"/>
        <scheme val="minor"/>
      </rPr>
      <t>hw</t>
    </r>
  </si>
  <si>
    <r>
      <t>H</t>
    </r>
    <r>
      <rPr>
        <vertAlign val="subscript"/>
        <sz val="10"/>
        <color theme="1"/>
        <rFont val="Calibri"/>
        <family val="2"/>
        <scheme val="minor"/>
      </rPr>
      <t>t</t>
    </r>
    <r>
      <rPr>
        <sz val="10"/>
        <color theme="1"/>
        <rFont val="Calibri"/>
        <family val="2"/>
        <scheme val="minor"/>
      </rPr>
      <t>/Hf</t>
    </r>
  </si>
  <si>
    <r>
      <rPr>
        <sz val="10"/>
        <color theme="1"/>
        <rFont val="Symbol"/>
        <family val="1"/>
        <charset val="2"/>
      </rPr>
      <t>D</t>
    </r>
    <r>
      <rPr>
        <sz val="10"/>
        <color theme="1"/>
        <rFont val="Calibri"/>
        <family val="2"/>
        <scheme val="minor"/>
      </rPr>
      <t>H/Hf</t>
    </r>
  </si>
  <si>
    <r>
      <rPr>
        <sz val="10"/>
        <color theme="1"/>
        <rFont val="Symbol"/>
        <family val="1"/>
        <charset val="2"/>
      </rPr>
      <t>D</t>
    </r>
    <r>
      <rPr>
        <sz val="10"/>
        <color theme="1"/>
        <rFont val="Calibri"/>
        <family val="2"/>
        <scheme val="minor"/>
      </rPr>
      <t>H</t>
    </r>
  </si>
  <si>
    <r>
      <t>H</t>
    </r>
    <r>
      <rPr>
        <vertAlign val="subscript"/>
        <sz val="10"/>
        <color theme="1"/>
        <rFont val="Calibri"/>
        <family val="2"/>
        <scheme val="minor"/>
      </rPr>
      <t xml:space="preserve">s  </t>
    </r>
    <r>
      <rPr>
        <sz val="10"/>
        <color theme="1"/>
        <rFont val="Calibri"/>
        <family val="2"/>
        <scheme val="minor"/>
      </rPr>
      <t>**</t>
    </r>
  </si>
  <si>
    <r>
      <t>H</t>
    </r>
    <r>
      <rPr>
        <vertAlign val="subscript"/>
        <sz val="9"/>
        <color theme="1"/>
        <rFont val="Calibri"/>
        <family val="2"/>
        <scheme val="minor"/>
      </rPr>
      <t>s</t>
    </r>
    <r>
      <rPr>
        <sz val="9"/>
        <color theme="1"/>
        <rFont val="Calibri"/>
        <family val="2"/>
        <scheme val="minor"/>
      </rPr>
      <t>+FB **</t>
    </r>
  </si>
  <si>
    <t>***Based on  "Hydraulics of Semicircular-inlet Drop Structures", model study by S. Becker &amp; G. Foster, ASAE 1993 -  observed variation in measured vs. computed head for a given flow rate. State practice standards may require more.</t>
  </si>
  <si>
    <r>
      <rPr>
        <sz val="11"/>
        <color rgb="FFC00000"/>
        <rFont val="Calibri"/>
        <family val="2"/>
        <scheme val="minor"/>
      </rPr>
      <t>H</t>
    </r>
    <r>
      <rPr>
        <vertAlign val="subscript"/>
        <sz val="11"/>
        <color rgb="FFC00000"/>
        <rFont val="Calibri"/>
        <family val="2"/>
        <scheme val="minor"/>
      </rPr>
      <t>t</t>
    </r>
    <r>
      <rPr>
        <i/>
        <vertAlign val="superscript"/>
        <sz val="10"/>
        <color rgb="FFC00000"/>
        <rFont val="Calibri"/>
        <family val="2"/>
        <scheme val="minor"/>
      </rPr>
      <t>Note1</t>
    </r>
  </si>
  <si>
    <t>Note1: Values input in this column need to be site-specific based on DS channel rating.</t>
  </si>
  <si>
    <t>Data for input dropdown lists and other calculations:</t>
  </si>
  <si>
    <t>Min H Reqd=</t>
  </si>
  <si>
    <t xml:space="preserve">H Selected = </t>
  </si>
  <si>
    <t>Wa=</t>
  </si>
  <si>
    <t>Added U/S Channel Width =</t>
  </si>
  <si>
    <t>Straight portion of weir =</t>
  </si>
  <si>
    <t>Version 1.03</t>
  </si>
  <si>
    <t>Changed variable "Wb" to "Wa"</t>
  </si>
  <si>
    <t>Revised plan &amp; profile sketch on Aluminum Structure Sizes tab</t>
  </si>
  <si>
    <t>Based on “Hydraulics of Semicircular-Inlet Drop Structures”, Becker, S.  M. and Foster, G. R., Transactions of the ASAE, July/August 1993</t>
  </si>
  <si>
    <t>Corresponding revisions to text of Instructions.</t>
  </si>
  <si>
    <t>Semicircular_Drop_Structure.xlsx V1.03</t>
  </si>
  <si>
    <r>
      <t xml:space="preserve">study and should </t>
    </r>
    <r>
      <rPr>
        <b/>
        <sz val="11"/>
        <rFont val="Calibri"/>
        <family val="2"/>
        <scheme val="minor"/>
      </rPr>
      <t>not</t>
    </r>
    <r>
      <rPr>
        <sz val="11"/>
        <rFont val="Calibri"/>
        <family val="2"/>
        <scheme val="minor"/>
      </rPr>
      <t xml:space="preserve"> be evaluated with this spreadsheet. See </t>
    </r>
    <r>
      <rPr>
        <b/>
        <sz val="11"/>
        <rFont val="Calibri"/>
        <family val="2"/>
        <scheme val="minor"/>
      </rPr>
      <t>Structure Sizes</t>
    </r>
    <r>
      <rPr>
        <sz val="11"/>
        <rFont val="Calibri"/>
        <family val="2"/>
        <scheme val="minor"/>
      </rPr>
      <t xml:space="preserve"> tab for allowable sizes.</t>
    </r>
  </si>
</sst>
</file>

<file path=xl/styles.xml><?xml version="1.0" encoding="utf-8"?>
<styleSheet xmlns="http://schemas.openxmlformats.org/spreadsheetml/2006/main">
  <numFmts count="2">
    <numFmt numFmtId="164" formatCode="0.0"/>
    <numFmt numFmtId="165" formatCode="0.000"/>
  </numFmts>
  <fonts count="40">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u/>
      <sz val="11"/>
      <color theme="1"/>
      <name val="Calibri"/>
      <family val="2"/>
      <scheme val="minor"/>
    </font>
    <font>
      <b/>
      <sz val="11"/>
      <color rgb="FFFF0000"/>
      <name val="Calibri"/>
      <family val="2"/>
      <scheme val="minor"/>
    </font>
    <font>
      <sz val="11"/>
      <name val="Calibri"/>
      <family val="2"/>
      <scheme val="minor"/>
    </font>
    <font>
      <vertAlign val="subscript"/>
      <sz val="11"/>
      <color theme="1"/>
      <name val="Cambria"/>
      <family val="1"/>
      <scheme val="major"/>
    </font>
    <font>
      <sz val="11"/>
      <color theme="1"/>
      <name val="Cambria"/>
      <family val="1"/>
      <scheme val="major"/>
    </font>
    <font>
      <vertAlign val="subscript"/>
      <sz val="11"/>
      <color theme="1"/>
      <name val="Calibri"/>
      <family val="2"/>
      <scheme val="minor"/>
    </font>
    <font>
      <sz val="8"/>
      <color indexed="81"/>
      <name val="Tahoma"/>
      <family val="2"/>
    </font>
    <font>
      <sz val="10"/>
      <color indexed="81"/>
      <name val="Tahoma"/>
      <family val="2"/>
    </font>
    <font>
      <sz val="9"/>
      <color theme="1"/>
      <name val="Calibri"/>
      <family val="2"/>
      <scheme val="minor"/>
    </font>
    <font>
      <sz val="9"/>
      <name val="Calibri"/>
      <family val="2"/>
      <scheme val="minor"/>
    </font>
    <font>
      <sz val="11"/>
      <color rgb="FFC00000"/>
      <name val="Calibri"/>
      <family val="2"/>
      <scheme val="minor"/>
    </font>
    <font>
      <i/>
      <sz val="11"/>
      <color rgb="FFC00000"/>
      <name val="Calibri"/>
      <family val="2"/>
      <scheme val="minor"/>
    </font>
    <font>
      <sz val="10"/>
      <name val="Arial"/>
      <family val="2"/>
    </font>
    <font>
      <i/>
      <sz val="9"/>
      <name val="Calibri"/>
      <family val="2"/>
      <scheme val="minor"/>
    </font>
    <font>
      <i/>
      <sz val="9"/>
      <color theme="1"/>
      <name val="Calibri"/>
      <family val="2"/>
      <scheme val="minor"/>
    </font>
    <font>
      <i/>
      <sz val="11"/>
      <color theme="1"/>
      <name val="Calibri"/>
      <family val="2"/>
      <scheme val="minor"/>
    </font>
    <font>
      <sz val="14"/>
      <color theme="1"/>
      <name val="Calibri"/>
      <family val="2"/>
      <scheme val="minor"/>
    </font>
    <font>
      <vertAlign val="subscript"/>
      <sz val="14"/>
      <color theme="1"/>
      <name val="Calibri"/>
      <family val="2"/>
      <scheme val="minor"/>
    </font>
    <font>
      <sz val="10"/>
      <color theme="1"/>
      <name val="Calibri"/>
      <family val="2"/>
      <scheme val="minor"/>
    </font>
    <font>
      <i/>
      <vertAlign val="subscript"/>
      <sz val="9"/>
      <name val="Calibri"/>
      <family val="2"/>
      <scheme val="minor"/>
    </font>
    <font>
      <vertAlign val="subscript"/>
      <sz val="11"/>
      <name val="Calibri"/>
      <family val="2"/>
      <scheme val="minor"/>
    </font>
    <font>
      <b/>
      <vertAlign val="subscript"/>
      <sz val="11"/>
      <color theme="1"/>
      <name val="Calibri"/>
      <family val="2"/>
      <scheme val="minor"/>
    </font>
    <font>
      <sz val="11"/>
      <color rgb="FF000000"/>
      <name val="Calibri"/>
      <family val="2"/>
      <scheme val="minor"/>
    </font>
    <font>
      <sz val="9"/>
      <color rgb="FFFF0000"/>
      <name val="Calibri"/>
      <family val="2"/>
      <scheme val="minor"/>
    </font>
    <font>
      <i/>
      <vertAlign val="subscript"/>
      <sz val="11"/>
      <color rgb="FFC00000"/>
      <name val="Calibri"/>
      <family val="2"/>
      <scheme val="minor"/>
    </font>
    <font>
      <vertAlign val="superscript"/>
      <sz val="10"/>
      <color theme="1"/>
      <name val="Calibri"/>
      <family val="2"/>
      <scheme val="minor"/>
    </font>
    <font>
      <vertAlign val="subscript"/>
      <sz val="9"/>
      <color theme="1"/>
      <name val="Calibri"/>
      <family val="2"/>
      <scheme val="minor"/>
    </font>
    <font>
      <vertAlign val="subscript"/>
      <sz val="10"/>
      <color theme="1"/>
      <name val="Calibri"/>
      <family val="2"/>
      <scheme val="minor"/>
    </font>
    <font>
      <sz val="10"/>
      <color rgb="FFC00000"/>
      <name val="Calibri"/>
      <family val="2"/>
      <scheme val="minor"/>
    </font>
    <font>
      <sz val="10"/>
      <color theme="1"/>
      <name val="Symbol"/>
      <family val="1"/>
      <charset val="2"/>
    </font>
    <font>
      <i/>
      <vertAlign val="superscript"/>
      <sz val="10"/>
      <color rgb="FFC00000"/>
      <name val="Calibri"/>
      <family val="2"/>
      <scheme val="minor"/>
    </font>
    <font>
      <vertAlign val="subscript"/>
      <sz val="11"/>
      <color rgb="FFC00000"/>
      <name val="Calibri"/>
      <family val="2"/>
      <scheme val="minor"/>
    </font>
    <font>
      <sz val="10"/>
      <color theme="1"/>
      <name val="Arial"/>
      <family val="2"/>
    </font>
    <font>
      <b/>
      <sz val="11"/>
      <name val="Calibri"/>
      <family val="2"/>
      <scheme val="minor"/>
    </font>
    <font>
      <b/>
      <u/>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dashed">
        <color indexed="64"/>
      </left>
      <right style="dashed">
        <color indexed="64"/>
      </right>
      <top style="dashed">
        <color indexed="64"/>
      </top>
      <bottom style="dashed">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bottom/>
      <diagonal/>
    </border>
    <border>
      <left/>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dashed">
        <color indexed="64"/>
      </left>
      <right style="dashed">
        <color indexed="64"/>
      </right>
      <top style="dashed">
        <color indexed="64"/>
      </top>
      <bottom/>
      <diagonal/>
    </border>
  </borders>
  <cellStyleXfs count="2">
    <xf numFmtId="0" fontId="0" fillId="0" borderId="0"/>
    <xf numFmtId="0" fontId="17" fillId="0" borderId="0"/>
  </cellStyleXfs>
  <cellXfs count="272">
    <xf numFmtId="0" fontId="0" fillId="0" borderId="0" xfId="0"/>
    <xf numFmtId="0" fontId="0" fillId="0" borderId="0" xfId="0" applyAlignment="1">
      <alignment horizontal="center"/>
    </xf>
    <xf numFmtId="0" fontId="0" fillId="0" borderId="0" xfId="0" applyBorder="1" applyAlignment="1">
      <alignment horizontal="right"/>
    </xf>
    <xf numFmtId="164" fontId="0" fillId="0" borderId="0" xfId="0" applyNumberFormat="1"/>
    <xf numFmtId="164" fontId="0" fillId="0" borderId="0" xfId="0" applyNumberFormat="1" applyFont="1" applyBorder="1"/>
    <xf numFmtId="164" fontId="0" fillId="0" borderId="0" xfId="0" applyNumberFormat="1" applyFont="1" applyFill="1" applyBorder="1"/>
    <xf numFmtId="0" fontId="0" fillId="0" borderId="0" xfId="0" applyBorder="1"/>
    <xf numFmtId="165" fontId="0" fillId="0" borderId="0" xfId="0" applyNumberFormat="1"/>
    <xf numFmtId="0" fontId="0" fillId="0" borderId="0" xfId="0" applyFont="1" applyProtection="1">
      <protection locked="0"/>
    </xf>
    <xf numFmtId="164" fontId="0" fillId="0" borderId="0" xfId="0" applyNumberFormat="1" applyBorder="1" applyProtection="1">
      <protection locked="0"/>
    </xf>
    <xf numFmtId="0" fontId="0" fillId="0" borderId="0" xfId="0" applyProtection="1">
      <protection locked="0"/>
    </xf>
    <xf numFmtId="0" fontId="0" fillId="0" borderId="0" xfId="0" applyBorder="1" applyAlignment="1" applyProtection="1">
      <alignment horizontal="right"/>
      <protection locked="0"/>
    </xf>
    <xf numFmtId="2" fontId="0" fillId="0" borderId="0" xfId="0" applyNumberFormat="1"/>
    <xf numFmtId="0" fontId="0" fillId="0" borderId="0" xfId="0" applyProtection="1"/>
    <xf numFmtId="0" fontId="0" fillId="0" borderId="0" xfId="0" applyAlignment="1" applyProtection="1">
      <alignment horizontal="right"/>
    </xf>
    <xf numFmtId="0" fontId="0" fillId="2" borderId="5" xfId="0" applyFill="1" applyBorder="1" applyProtection="1">
      <protection locked="0"/>
    </xf>
    <xf numFmtId="164" fontId="0" fillId="0" borderId="0" xfId="0" applyNumberFormat="1" applyProtection="1"/>
    <xf numFmtId="2" fontId="0" fillId="2" borderId="5" xfId="0" applyNumberFormat="1" applyFill="1" applyBorder="1" applyProtection="1">
      <protection locked="0"/>
    </xf>
    <xf numFmtId="0" fontId="0" fillId="0" borderId="0" xfId="0" applyFill="1" applyProtection="1"/>
    <xf numFmtId="2" fontId="0" fillId="0" borderId="0" xfId="0" applyNumberFormat="1" applyFill="1" applyBorder="1" applyProtection="1"/>
    <xf numFmtId="164" fontId="0" fillId="0" borderId="0" xfId="0" applyNumberFormat="1" applyFill="1" applyBorder="1" applyProtection="1"/>
    <xf numFmtId="0" fontId="3" fillId="0" borderId="0" xfId="0" applyFont="1"/>
    <xf numFmtId="0" fontId="7" fillId="0" borderId="0" xfId="0" applyFont="1"/>
    <xf numFmtId="0" fontId="7" fillId="0" borderId="0" xfId="0" applyFont="1" applyBorder="1" applyAlignment="1">
      <alignment horizontal="right"/>
    </xf>
    <xf numFmtId="0" fontId="7" fillId="0" borderId="0" xfId="0" applyFont="1" applyBorder="1"/>
    <xf numFmtId="0" fontId="7" fillId="0" borderId="0" xfId="0" applyFont="1" applyFill="1" applyBorder="1"/>
    <xf numFmtId="164" fontId="7" fillId="0" borderId="0" xfId="0" applyNumberFormat="1" applyFont="1"/>
    <xf numFmtId="164" fontId="7" fillId="0" borderId="0" xfId="0" applyNumberFormat="1" applyFont="1" applyBorder="1"/>
    <xf numFmtId="164" fontId="7" fillId="0" borderId="0" xfId="0" applyNumberFormat="1" applyFont="1" applyFill="1" applyBorder="1"/>
    <xf numFmtId="0" fontId="0" fillId="0" borderId="0" xfId="0" applyFill="1" applyBorder="1" applyProtection="1"/>
    <xf numFmtId="164" fontId="0" fillId="0" borderId="4" xfId="0" applyNumberFormat="1" applyBorder="1" applyAlignment="1" applyProtection="1">
      <alignment horizontal="center"/>
    </xf>
    <xf numFmtId="2" fontId="0" fillId="3" borderId="0" xfId="0" applyNumberFormat="1" applyFill="1" applyBorder="1" applyProtection="1"/>
    <xf numFmtId="164" fontId="0" fillId="3" borderId="0" xfId="0" applyNumberFormat="1" applyFill="1" applyBorder="1" applyProtection="1"/>
    <xf numFmtId="165" fontId="0" fillId="0" borderId="0" xfId="0" applyNumberFormat="1" applyFill="1" applyBorder="1" applyProtection="1"/>
    <xf numFmtId="0" fontId="0" fillId="2" borderId="2" xfId="0" applyFill="1" applyBorder="1" applyAlignment="1" applyProtection="1">
      <protection locked="0"/>
    </xf>
    <xf numFmtId="164" fontId="0" fillId="0" borderId="1" xfId="0" applyNumberFormat="1" applyFill="1" applyBorder="1" applyAlignment="1" applyProtection="1">
      <alignment horizontal="right"/>
    </xf>
    <xf numFmtId="0" fontId="0" fillId="0" borderId="1" xfId="0" applyFill="1" applyBorder="1" applyProtection="1"/>
    <xf numFmtId="0" fontId="0" fillId="0" borderId="1" xfId="0" applyBorder="1"/>
    <xf numFmtId="0" fontId="0" fillId="0" borderId="0" xfId="0" applyBorder="1" applyAlignment="1" applyProtection="1">
      <alignment horizontal="right"/>
    </xf>
    <xf numFmtId="0" fontId="2" fillId="0" borderId="7" xfId="0" applyFont="1" applyBorder="1" applyAlignment="1" applyProtection="1">
      <alignment horizontal="right"/>
    </xf>
    <xf numFmtId="164" fontId="0" fillId="0" borderId="8" xfId="0" applyNumberFormat="1" applyBorder="1"/>
    <xf numFmtId="0" fontId="0" fillId="0" borderId="0" xfId="0"/>
    <xf numFmtId="0" fontId="0" fillId="0" borderId="0" xfId="0" applyAlignment="1">
      <alignment horizontal="left"/>
    </xf>
    <xf numFmtId="0" fontId="0" fillId="0" borderId="9" xfId="0" applyFill="1" applyBorder="1" applyProtection="1"/>
    <xf numFmtId="0" fontId="0" fillId="0" borderId="0" xfId="0" applyFill="1" applyBorder="1" applyAlignment="1">
      <alignment horizontal="right"/>
    </xf>
    <xf numFmtId="0" fontId="0" fillId="0" borderId="3" xfId="0" applyBorder="1"/>
    <xf numFmtId="0" fontId="0" fillId="0" borderId="11" xfId="0" applyBorder="1"/>
    <xf numFmtId="0" fontId="0" fillId="0" borderId="12" xfId="0" applyBorder="1"/>
    <xf numFmtId="0" fontId="0" fillId="0" borderId="17" xfId="0" applyBorder="1"/>
    <xf numFmtId="165" fontId="0" fillId="0" borderId="10" xfId="0" applyNumberFormat="1" applyBorder="1" applyAlignment="1">
      <alignment horizontal="center"/>
    </xf>
    <xf numFmtId="165" fontId="0" fillId="0" borderId="11" xfId="0" applyNumberFormat="1" applyBorder="1"/>
    <xf numFmtId="165" fontId="0" fillId="0" borderId="17" xfId="0" applyNumberFormat="1" applyBorder="1" applyAlignment="1">
      <alignment horizontal="center"/>
    </xf>
    <xf numFmtId="165" fontId="0" fillId="0" borderId="17" xfId="0" applyNumberFormat="1" applyBorder="1"/>
    <xf numFmtId="165" fontId="0" fillId="0" borderId="12" xfId="0" applyNumberFormat="1" applyBorder="1" applyAlignment="1">
      <alignment horizontal="center"/>
    </xf>
    <xf numFmtId="165" fontId="0" fillId="0" borderId="12" xfId="0" applyNumberFormat="1" applyBorder="1"/>
    <xf numFmtId="2" fontId="0" fillId="0" borderId="11" xfId="0" applyNumberFormat="1" applyBorder="1"/>
    <xf numFmtId="2" fontId="0" fillId="0" borderId="17" xfId="0" applyNumberFormat="1" applyBorder="1"/>
    <xf numFmtId="2" fontId="0" fillId="0" borderId="12" xfId="0" applyNumberFormat="1" applyBorder="1"/>
    <xf numFmtId="165" fontId="0" fillId="0" borderId="0" xfId="0" applyNumberFormat="1" applyBorder="1" applyAlignment="1">
      <alignment horizontal="right"/>
    </xf>
    <xf numFmtId="0" fontId="0" fillId="0" borderId="0" xfId="0" applyAlignment="1">
      <alignment horizontal="right"/>
    </xf>
    <xf numFmtId="0" fontId="0" fillId="0" borderId="0" xfId="0"/>
    <xf numFmtId="0" fontId="0" fillId="0" borderId="0" xfId="0" applyAlignment="1" applyProtection="1">
      <alignment horizontal="right"/>
    </xf>
    <xf numFmtId="165" fontId="0" fillId="0" borderId="13" xfId="0" applyNumberFormat="1" applyBorder="1"/>
    <xf numFmtId="165" fontId="0" fillId="0" borderId="19" xfId="0" applyNumberFormat="1" applyBorder="1"/>
    <xf numFmtId="165" fontId="0" fillId="0" borderId="14" xfId="0" applyNumberFormat="1" applyBorder="1"/>
    <xf numFmtId="165" fontId="0" fillId="0" borderId="20" xfId="0" applyNumberFormat="1" applyBorder="1"/>
    <xf numFmtId="165" fontId="0" fillId="0" borderId="0" xfId="0" applyNumberFormat="1" applyBorder="1"/>
    <xf numFmtId="165" fontId="0" fillId="0" borderId="18" xfId="0" applyNumberFormat="1" applyBorder="1"/>
    <xf numFmtId="165" fontId="0" fillId="0" borderId="15" xfId="0" applyNumberFormat="1" applyBorder="1"/>
    <xf numFmtId="165" fontId="0" fillId="0" borderId="4" xfId="0" applyNumberFormat="1" applyBorder="1"/>
    <xf numFmtId="165" fontId="0" fillId="0" borderId="16" xfId="0" applyNumberFormat="1" applyBorder="1"/>
    <xf numFmtId="0" fontId="0" fillId="0" borderId="0" xfId="0" applyAlignment="1" applyProtection="1">
      <alignment horizontal="center"/>
    </xf>
    <xf numFmtId="0" fontId="21" fillId="0" borderId="0" xfId="0" applyFont="1" applyAlignment="1" applyProtection="1">
      <alignment horizontal="center"/>
    </xf>
    <xf numFmtId="0" fontId="0" fillId="0" borderId="0" xfId="0"/>
    <xf numFmtId="0" fontId="0" fillId="0" borderId="0" xfId="0" applyAlignment="1">
      <alignment horizontal="center"/>
    </xf>
    <xf numFmtId="164" fontId="0" fillId="0" borderId="0" xfId="0" applyNumberFormat="1" applyBorder="1"/>
    <xf numFmtId="0" fontId="0" fillId="0" borderId="0" xfId="0" applyProtection="1"/>
    <xf numFmtId="0" fontId="0" fillId="0" borderId="0" xfId="0" applyFont="1" applyProtection="1">
      <protection locked="0"/>
    </xf>
    <xf numFmtId="2" fontId="0" fillId="0" borderId="11" xfId="0" applyNumberFormat="1" applyBorder="1"/>
    <xf numFmtId="2" fontId="0" fillId="0" borderId="17" xfId="0" applyNumberFormat="1" applyBorder="1"/>
    <xf numFmtId="2" fontId="0" fillId="0" borderId="12" xfId="0" applyNumberFormat="1" applyBorder="1"/>
    <xf numFmtId="0" fontId="0" fillId="0" borderId="15" xfId="0" applyBorder="1"/>
    <xf numFmtId="0" fontId="0" fillId="0" borderId="16" xfId="0" applyBorder="1"/>
    <xf numFmtId="0" fontId="0" fillId="0" borderId="1" xfId="0" applyBorder="1" applyAlignment="1">
      <alignment horizontal="right"/>
    </xf>
    <xf numFmtId="0" fontId="0" fillId="0" borderId="3" xfId="0" applyBorder="1" applyAlignment="1">
      <alignment horizontal="right"/>
    </xf>
    <xf numFmtId="0" fontId="2" fillId="0" borderId="7" xfId="0" applyFont="1" applyBorder="1" applyAlignment="1">
      <alignment horizontal="center"/>
    </xf>
    <xf numFmtId="165" fontId="2" fillId="0" borderId="9" xfId="0" applyNumberFormat="1" applyFont="1" applyBorder="1" applyAlignment="1">
      <alignment horizontal="center"/>
    </xf>
    <xf numFmtId="0" fontId="0" fillId="0" borderId="0" xfId="0" applyBorder="1" applyAlignment="1">
      <alignment horizontal="center"/>
    </xf>
    <xf numFmtId="2" fontId="0" fillId="0" borderId="1" xfId="0" applyNumberFormat="1" applyBorder="1"/>
    <xf numFmtId="2" fontId="0" fillId="0" borderId="3" xfId="0" applyNumberFormat="1" applyBorder="1"/>
    <xf numFmtId="165" fontId="0" fillId="0" borderId="10" xfId="0" applyNumberFormat="1" applyBorder="1"/>
    <xf numFmtId="0" fontId="0" fillId="0" borderId="13" xfId="0" applyBorder="1"/>
    <xf numFmtId="165" fontId="0" fillId="0" borderId="15" xfId="0" applyNumberFormat="1" applyBorder="1" applyAlignment="1">
      <alignment horizontal="center"/>
    </xf>
    <xf numFmtId="0" fontId="2" fillId="0" borderId="7" xfId="0" applyFont="1" applyBorder="1" applyAlignment="1">
      <alignment horizontal="right"/>
    </xf>
    <xf numFmtId="0" fontId="0" fillId="0" borderId="0" xfId="0"/>
    <xf numFmtId="0" fontId="0" fillId="0" borderId="0" xfId="0" applyAlignment="1">
      <alignment horizontal="center"/>
    </xf>
    <xf numFmtId="2" fontId="0" fillId="0" borderId="2" xfId="0" applyNumberFormat="1" applyBorder="1"/>
    <xf numFmtId="0" fontId="0" fillId="0" borderId="0" xfId="0" applyAlignment="1" applyProtection="1">
      <alignment horizontal="center"/>
    </xf>
    <xf numFmtId="0" fontId="21" fillId="0" borderId="0" xfId="0" applyFont="1" applyAlignment="1" applyProtection="1">
      <alignment horizontal="center"/>
    </xf>
    <xf numFmtId="165" fontId="0" fillId="0" borderId="0" xfId="0" applyNumberFormat="1"/>
    <xf numFmtId="165" fontId="0" fillId="0" borderId="13" xfId="0" applyNumberFormat="1" applyBorder="1"/>
    <xf numFmtId="165" fontId="0" fillId="0" borderId="19" xfId="0" applyNumberFormat="1" applyBorder="1"/>
    <xf numFmtId="165" fontId="0" fillId="0" borderId="14" xfId="0" applyNumberFormat="1" applyBorder="1"/>
    <xf numFmtId="165" fontId="0" fillId="0" borderId="20" xfId="0" applyNumberFormat="1" applyBorder="1"/>
    <xf numFmtId="165" fontId="0" fillId="0" borderId="0" xfId="0" applyNumberFormat="1" applyBorder="1"/>
    <xf numFmtId="165" fontId="0" fillId="0" borderId="18" xfId="0" applyNumberFormat="1" applyBorder="1"/>
    <xf numFmtId="165" fontId="0" fillId="0" borderId="15" xfId="0" applyNumberFormat="1" applyBorder="1"/>
    <xf numFmtId="165" fontId="0" fillId="0" borderId="4" xfId="0" applyNumberFormat="1" applyBorder="1"/>
    <xf numFmtId="165" fontId="0" fillId="0" borderId="16" xfId="0" applyNumberFormat="1" applyBorder="1"/>
    <xf numFmtId="2" fontId="0" fillId="0" borderId="11" xfId="0" applyNumberFormat="1" applyBorder="1"/>
    <xf numFmtId="2" fontId="0" fillId="0" borderId="17" xfId="0" applyNumberFormat="1" applyBorder="1"/>
    <xf numFmtId="2" fontId="0" fillId="0" borderId="12" xfId="0" applyNumberFormat="1" applyBorder="1"/>
    <xf numFmtId="0" fontId="0" fillId="0" borderId="0" xfId="0"/>
    <xf numFmtId="0" fontId="0" fillId="0" borderId="0" xfId="0" applyAlignment="1" applyProtection="1">
      <alignment horizontal="center"/>
    </xf>
    <xf numFmtId="0" fontId="21" fillId="0" borderId="0" xfId="0" applyFont="1" applyAlignment="1" applyProtection="1">
      <alignment horizontal="center"/>
    </xf>
    <xf numFmtId="0" fontId="0" fillId="0" borderId="0" xfId="0"/>
    <xf numFmtId="0" fontId="0" fillId="0" borderId="2" xfId="0" applyBorder="1"/>
    <xf numFmtId="0" fontId="0" fillId="0" borderId="0" xfId="0" applyAlignment="1">
      <alignment horizontal="right"/>
    </xf>
    <xf numFmtId="0" fontId="1" fillId="0" borderId="0" xfId="0" applyFont="1" applyAlignment="1" applyProtection="1">
      <alignment horizontal="left"/>
    </xf>
    <xf numFmtId="165" fontId="0" fillId="0" borderId="0" xfId="0" applyNumberFormat="1"/>
    <xf numFmtId="165" fontId="0" fillId="0" borderId="1" xfId="0" applyNumberFormat="1" applyBorder="1"/>
    <xf numFmtId="0" fontId="0" fillId="0" borderId="10" xfId="0" applyBorder="1"/>
    <xf numFmtId="0" fontId="0" fillId="0" borderId="10" xfId="0" applyBorder="1" applyAlignment="1">
      <alignment horizontal="right"/>
    </xf>
    <xf numFmtId="165" fontId="0" fillId="0" borderId="19" xfId="0" applyNumberFormat="1" applyBorder="1"/>
    <xf numFmtId="165" fontId="0" fillId="0" borderId="14" xfId="0" applyNumberFormat="1" applyBorder="1"/>
    <xf numFmtId="165" fontId="0" fillId="0" borderId="0" xfId="0" applyNumberFormat="1" applyBorder="1"/>
    <xf numFmtId="165" fontId="0" fillId="0" borderId="18" xfId="0" applyNumberFormat="1" applyBorder="1"/>
    <xf numFmtId="165" fontId="0" fillId="0" borderId="4" xfId="0" applyNumberFormat="1" applyBorder="1"/>
    <xf numFmtId="165" fontId="0" fillId="0" borderId="16" xfId="0" applyNumberFormat="1" applyBorder="1"/>
    <xf numFmtId="165" fontId="0" fillId="0" borderId="0" xfId="0" applyNumberFormat="1" applyAlignment="1">
      <alignment horizontal="center"/>
    </xf>
    <xf numFmtId="165" fontId="0" fillId="0" borderId="12" xfId="0" applyNumberFormat="1" applyBorder="1"/>
    <xf numFmtId="0" fontId="23" fillId="0" borderId="11" xfId="0" applyFont="1" applyBorder="1" applyAlignment="1">
      <alignment horizontal="center"/>
    </xf>
    <xf numFmtId="0" fontId="23" fillId="0" borderId="20" xfId="0" applyFont="1" applyBorder="1" applyAlignment="1">
      <alignment horizontal="center"/>
    </xf>
    <xf numFmtId="0" fontId="0" fillId="0" borderId="0" xfId="0"/>
    <xf numFmtId="0" fontId="0" fillId="0" borderId="20" xfId="0" applyBorder="1" applyAlignment="1">
      <alignment horizontal="center"/>
    </xf>
    <xf numFmtId="0" fontId="7" fillId="0" borderId="0" xfId="0" applyFont="1" applyAlignment="1" applyProtection="1">
      <alignment horizontal="left"/>
    </xf>
    <xf numFmtId="0" fontId="0" fillId="0" borderId="11" xfId="0" applyBorder="1" applyAlignment="1">
      <alignment horizontal="right"/>
    </xf>
    <xf numFmtId="2" fontId="0" fillId="0" borderId="16" xfId="0" applyNumberFormat="1" applyBorder="1"/>
    <xf numFmtId="0" fontId="23" fillId="0" borderId="13" xfId="0" applyFont="1" applyBorder="1" applyAlignment="1">
      <alignment horizontal="center"/>
    </xf>
    <xf numFmtId="165" fontId="0" fillId="0" borderId="0" xfId="0" applyNumberFormat="1" applyBorder="1" applyAlignment="1">
      <alignment horizontal="center"/>
    </xf>
    <xf numFmtId="0" fontId="0" fillId="0" borderId="0" xfId="0"/>
    <xf numFmtId="0" fontId="0" fillId="0" borderId="4" xfId="0" applyBorder="1"/>
    <xf numFmtId="0" fontId="0" fillId="0" borderId="6" xfId="0" applyBorder="1" applyAlignment="1">
      <alignment horizontal="right"/>
    </xf>
    <xf numFmtId="164" fontId="0" fillId="0" borderId="21" xfId="0" applyNumberFormat="1" applyBorder="1"/>
    <xf numFmtId="2" fontId="0" fillId="0" borderId="21" xfId="0" applyNumberFormat="1" applyBorder="1"/>
    <xf numFmtId="0" fontId="0" fillId="0" borderId="21" xfId="0" applyBorder="1"/>
    <xf numFmtId="164" fontId="0" fillId="0" borderId="2" xfId="0" applyNumberFormat="1" applyBorder="1"/>
    <xf numFmtId="0" fontId="0" fillId="0" borderId="4" xfId="0" applyBorder="1" applyAlignment="1">
      <alignment horizontal="right"/>
    </xf>
    <xf numFmtId="164" fontId="0" fillId="0" borderId="4" xfId="0" applyNumberFormat="1" applyBorder="1"/>
    <xf numFmtId="2" fontId="0" fillId="0" borderId="4" xfId="0" applyNumberFormat="1" applyBorder="1"/>
    <xf numFmtId="164" fontId="20" fillId="0" borderId="4" xfId="0" applyNumberFormat="1" applyFont="1" applyBorder="1"/>
    <xf numFmtId="164" fontId="20" fillId="0" borderId="0" xfId="0" applyNumberFormat="1" applyFont="1"/>
    <xf numFmtId="0" fontId="0" fillId="0" borderId="0" xfId="0" applyAlignment="1">
      <alignment horizontal="left" wrapText="1"/>
    </xf>
    <xf numFmtId="0" fontId="0" fillId="0" borderId="0" xfId="0" applyFont="1" applyBorder="1"/>
    <xf numFmtId="164" fontId="0" fillId="0" borderId="4" xfId="0" applyNumberFormat="1" applyFont="1" applyFill="1" applyBorder="1"/>
    <xf numFmtId="14" fontId="0" fillId="0" borderId="0" xfId="0" applyNumberFormat="1" applyProtection="1"/>
    <xf numFmtId="165" fontId="2" fillId="0" borderId="9" xfId="0" applyNumberFormat="1" applyFont="1" applyBorder="1"/>
    <xf numFmtId="2" fontId="0" fillId="0" borderId="15" xfId="0" applyNumberFormat="1" applyBorder="1"/>
    <xf numFmtId="0" fontId="0" fillId="0" borderId="0" xfId="0"/>
    <xf numFmtId="0" fontId="0" fillId="0" borderId="0" xfId="0"/>
    <xf numFmtId="165" fontId="0" fillId="0" borderId="12" xfId="0" applyNumberFormat="1" applyFill="1" applyBorder="1"/>
    <xf numFmtId="165" fontId="0" fillId="0" borderId="20" xfId="0" applyNumberFormat="1" applyBorder="1" applyAlignment="1">
      <alignment horizontal="center"/>
    </xf>
    <xf numFmtId="0" fontId="28" fillId="0" borderId="0" xfId="0" applyFont="1" applyFill="1" applyBorder="1" applyProtection="1"/>
    <xf numFmtId="0" fontId="1" fillId="0" borderId="0" xfId="0" applyFont="1" applyFill="1" applyBorder="1" applyProtection="1"/>
    <xf numFmtId="0" fontId="0" fillId="0" borderId="19" xfId="0" applyBorder="1" applyAlignment="1" applyProtection="1">
      <alignment horizontal="right"/>
    </xf>
    <xf numFmtId="0" fontId="0" fillId="2" borderId="2" xfId="0" applyFill="1" applyBorder="1" applyAlignment="1" applyProtection="1"/>
    <xf numFmtId="0" fontId="0" fillId="0" borderId="19" xfId="0" applyBorder="1"/>
    <xf numFmtId="0" fontId="0" fillId="0" borderId="14" xfId="0" applyBorder="1"/>
    <xf numFmtId="0" fontId="0" fillId="0" borderId="20" xfId="0" applyBorder="1"/>
    <xf numFmtId="0" fontId="0" fillId="0" borderId="18" xfId="0" applyBorder="1"/>
    <xf numFmtId="0" fontId="0" fillId="0" borderId="0" xfId="0" applyBorder="1" applyProtection="1"/>
    <xf numFmtId="0" fontId="16" fillId="0" borderId="20" xfId="0" applyFont="1" applyBorder="1" applyProtection="1"/>
    <xf numFmtId="0" fontId="1" fillId="0" borderId="0" xfId="0" applyFont="1" applyBorder="1"/>
    <xf numFmtId="165" fontId="0" fillId="0" borderId="0" xfId="0" applyNumberFormat="1" applyBorder="1" applyProtection="1"/>
    <xf numFmtId="0" fontId="28" fillId="0" borderId="18" xfId="0" applyFont="1" applyBorder="1"/>
    <xf numFmtId="0" fontId="6" fillId="0" borderId="0" xfId="0" applyFont="1" applyBorder="1" applyProtection="1"/>
    <xf numFmtId="164" fontId="0" fillId="0" borderId="0" xfId="0" applyNumberFormat="1" applyBorder="1" applyProtection="1"/>
    <xf numFmtId="0" fontId="4" fillId="0" borderId="20" xfId="0" applyFont="1" applyBorder="1" applyProtection="1"/>
    <xf numFmtId="0" fontId="0" fillId="0" borderId="0" xfId="0" applyBorder="1" applyAlignment="1" applyProtection="1">
      <alignment horizontal="left"/>
    </xf>
    <xf numFmtId="0" fontId="28" fillId="0" borderId="0" xfId="0" applyFont="1" applyBorder="1"/>
    <xf numFmtId="2" fontId="0" fillId="0" borderId="0" xfId="0" applyNumberFormat="1" applyBorder="1" applyAlignment="1" applyProtection="1">
      <alignment horizontal="right"/>
    </xf>
    <xf numFmtId="0" fontId="0" fillId="0" borderId="20" xfId="0" applyBorder="1" applyProtection="1"/>
    <xf numFmtId="0" fontId="0" fillId="0" borderId="18" xfId="0" applyBorder="1" applyProtection="1"/>
    <xf numFmtId="0" fontId="18" fillId="0" borderId="20" xfId="0" applyFont="1" applyFill="1" applyBorder="1" applyProtection="1"/>
    <xf numFmtId="0" fontId="0" fillId="0" borderId="0" xfId="0" applyFill="1" applyBorder="1" applyAlignment="1" applyProtection="1">
      <alignment horizontal="right"/>
    </xf>
    <xf numFmtId="2" fontId="0" fillId="0" borderId="0" xfId="0" applyNumberFormat="1" applyBorder="1" applyProtection="1"/>
    <xf numFmtId="0" fontId="7" fillId="0" borderId="0" xfId="0" applyFont="1" applyFill="1" applyBorder="1" applyProtection="1"/>
    <xf numFmtId="0" fontId="0" fillId="0" borderId="20" xfId="0" applyBorder="1" applyAlignment="1">
      <alignment horizontal="left"/>
    </xf>
    <xf numFmtId="0" fontId="15" fillId="0" borderId="0" xfId="0" applyFont="1" applyBorder="1" applyProtection="1"/>
    <xf numFmtId="0" fontId="0" fillId="0" borderId="20" xfId="0" applyBorder="1" applyAlignment="1" applyProtection="1">
      <alignment horizontal="center"/>
    </xf>
    <xf numFmtId="0" fontId="2" fillId="0" borderId="0" xfId="0" applyFont="1" applyBorder="1" applyProtection="1"/>
    <xf numFmtId="0" fontId="2" fillId="0" borderId="0" xfId="0" applyFont="1" applyBorder="1" applyAlignment="1" applyProtection="1">
      <alignment horizontal="right"/>
    </xf>
    <xf numFmtId="0" fontId="6" fillId="0" borderId="0" xfId="0" applyFont="1" applyBorder="1" applyAlignment="1" applyProtection="1">
      <alignment vertical="top"/>
    </xf>
    <xf numFmtId="0" fontId="0" fillId="0" borderId="20" xfId="0" applyBorder="1" applyAlignment="1" applyProtection="1">
      <alignment horizontal="left" wrapText="1"/>
    </xf>
    <xf numFmtId="0" fontId="0" fillId="0" borderId="0" xfId="0" applyBorder="1" applyAlignment="1" applyProtection="1">
      <alignment horizontal="left" wrapText="1"/>
    </xf>
    <xf numFmtId="0" fontId="13" fillId="0" borderId="20" xfId="0" applyFont="1" applyBorder="1" applyAlignment="1" applyProtection="1">
      <alignment horizontal="left"/>
    </xf>
    <xf numFmtId="0" fontId="13" fillId="0" borderId="0" xfId="0" applyFont="1" applyBorder="1" applyAlignment="1" applyProtection="1">
      <alignment horizontal="right"/>
    </xf>
    <xf numFmtId="0" fontId="0" fillId="0" borderId="18" xfId="0" applyBorder="1" applyAlignment="1" applyProtection="1">
      <alignment horizontal="right"/>
    </xf>
    <xf numFmtId="0" fontId="13" fillId="0" borderId="20" xfId="0" applyFont="1" applyBorder="1" applyAlignment="1" applyProtection="1">
      <alignment horizontal="right" shrinkToFit="1"/>
    </xf>
    <xf numFmtId="0" fontId="13" fillId="0" borderId="0" xfId="0" applyFont="1" applyBorder="1" applyAlignment="1" applyProtection="1">
      <alignment horizontal="right" shrinkToFit="1"/>
    </xf>
    <xf numFmtId="164" fontId="13" fillId="0" borderId="0" xfId="0" applyNumberFormat="1" applyFont="1" applyBorder="1" applyAlignment="1" applyProtection="1">
      <alignment horizontal="right" shrinkToFit="1"/>
    </xf>
    <xf numFmtId="164" fontId="0" fillId="0" borderId="0" xfId="0" applyNumberFormat="1" applyBorder="1" applyAlignment="1" applyProtection="1">
      <alignment horizontal="right"/>
    </xf>
    <xf numFmtId="0" fontId="7" fillId="0" borderId="0" xfId="0" applyFont="1" applyBorder="1" applyAlignment="1" applyProtection="1">
      <alignment horizontal="right"/>
    </xf>
    <xf numFmtId="0" fontId="1" fillId="0" borderId="0" xfId="0" applyFont="1" applyBorder="1" applyAlignment="1" applyProtection="1">
      <alignment horizontal="right"/>
    </xf>
    <xf numFmtId="164" fontId="0" fillId="0" borderId="18" xfId="0" applyNumberFormat="1" applyBorder="1" applyAlignment="1" applyProtection="1">
      <alignment horizontal="right"/>
    </xf>
    <xf numFmtId="2" fontId="0" fillId="3" borderId="20" xfId="0" applyNumberFormat="1" applyFill="1" applyBorder="1" applyProtection="1"/>
    <xf numFmtId="2" fontId="0" fillId="0" borderId="0" xfId="0" applyNumberFormat="1" applyBorder="1" applyAlignment="1" applyProtection="1">
      <alignment horizontal="right" wrapText="1"/>
    </xf>
    <xf numFmtId="2" fontId="0" fillId="3" borderId="18" xfId="0" applyNumberFormat="1" applyFill="1" applyBorder="1" applyProtection="1"/>
    <xf numFmtId="0" fontId="0" fillId="0" borderId="20" xfId="0" applyFill="1" applyBorder="1" applyProtection="1"/>
    <xf numFmtId="164" fontId="23" fillId="0" borderId="6" xfId="0" applyNumberFormat="1" applyFont="1" applyFill="1" applyBorder="1" applyAlignment="1" applyProtection="1">
      <alignment horizontal="right" vertical="center"/>
    </xf>
    <xf numFmtId="164" fontId="13" fillId="3" borderId="23" xfId="0" applyNumberFormat="1" applyFont="1" applyFill="1" applyBorder="1" applyAlignment="1" applyProtection="1">
      <alignment horizontal="right" vertical="center"/>
    </xf>
    <xf numFmtId="0" fontId="23" fillId="3" borderId="22" xfId="0" applyFont="1" applyFill="1" applyBorder="1" applyAlignment="1" applyProtection="1">
      <alignment horizontal="right" vertical="center"/>
    </xf>
    <xf numFmtId="0" fontId="23" fillId="0" borderId="6" xfId="0" applyFont="1" applyFill="1" applyBorder="1" applyAlignment="1" applyProtection="1">
      <alignment horizontal="right" vertical="center"/>
    </xf>
    <xf numFmtId="0" fontId="23" fillId="0" borderId="6" xfId="0" applyFont="1" applyBorder="1" applyAlignment="1" applyProtection="1">
      <alignment horizontal="right" vertical="center"/>
    </xf>
    <xf numFmtId="164" fontId="23" fillId="3" borderId="6" xfId="0" applyNumberFormat="1" applyFont="1" applyFill="1" applyBorder="1" applyAlignment="1" applyProtection="1">
      <alignment horizontal="right" vertical="center"/>
    </xf>
    <xf numFmtId="0" fontId="33" fillId="0" borderId="6" xfId="0" applyFont="1" applyFill="1" applyBorder="1" applyAlignment="1" applyProtection="1">
      <alignment horizontal="right" vertical="center"/>
    </xf>
    <xf numFmtId="0" fontId="23" fillId="3" borderId="6" xfId="0" applyFont="1" applyFill="1" applyBorder="1" applyAlignment="1" applyProtection="1">
      <alignment horizontal="right" vertical="center"/>
    </xf>
    <xf numFmtId="0" fontId="23" fillId="0" borderId="6" xfId="0" applyFont="1" applyFill="1" applyBorder="1" applyAlignment="1" applyProtection="1">
      <alignment horizontal="right" vertical="center" wrapText="1"/>
    </xf>
    <xf numFmtId="0" fontId="0" fillId="0" borderId="14" xfId="0" applyBorder="1" applyAlignment="1">
      <alignment horizontal="right"/>
    </xf>
    <xf numFmtId="0" fontId="0" fillId="0" borderId="10" xfId="0" applyBorder="1" applyAlignment="1">
      <alignment horizontal="center"/>
    </xf>
    <xf numFmtId="0" fontId="1" fillId="0" borderId="0" xfId="0" applyFont="1" applyBorder="1" applyAlignment="1" applyProtection="1">
      <alignment horizontal="left"/>
    </xf>
    <xf numFmtId="0" fontId="2" fillId="0" borderId="15" xfId="0" applyFont="1" applyBorder="1" applyProtection="1"/>
    <xf numFmtId="0" fontId="0" fillId="0" borderId="4" xfId="0" applyBorder="1" applyProtection="1"/>
    <xf numFmtId="0" fontId="0" fillId="0" borderId="4" xfId="0" applyBorder="1" applyAlignment="1" applyProtection="1">
      <alignment horizontal="right"/>
    </xf>
    <xf numFmtId="2" fontId="0" fillId="2" borderId="24" xfId="0" applyNumberFormat="1" applyFill="1" applyBorder="1" applyProtection="1">
      <protection locked="0"/>
    </xf>
    <xf numFmtId="0" fontId="20" fillId="0" borderId="0" xfId="0" applyFont="1"/>
    <xf numFmtId="2" fontId="6" fillId="0" borderId="0" xfId="0" applyNumberFormat="1" applyFont="1" applyFill="1" applyBorder="1" applyAlignment="1" applyProtection="1">
      <alignment horizontal="right"/>
    </xf>
    <xf numFmtId="2" fontId="0" fillId="0" borderId="3" xfId="0" applyNumberFormat="1" applyFill="1" applyBorder="1" applyAlignment="1" applyProtection="1">
      <alignment shrinkToFit="1"/>
    </xf>
    <xf numFmtId="2" fontId="0" fillId="0" borderId="16" xfId="0" applyNumberFormat="1" applyFill="1" applyBorder="1" applyProtection="1"/>
    <xf numFmtId="0" fontId="37" fillId="0" borderId="0" xfId="0" applyFont="1" applyProtection="1"/>
    <xf numFmtId="0" fontId="0" fillId="0" borderId="0" xfId="0" applyFont="1" applyAlignment="1" applyProtection="1">
      <alignment vertical="center"/>
    </xf>
    <xf numFmtId="0" fontId="27" fillId="0" borderId="0" xfId="0" applyFont="1" applyAlignment="1" applyProtection="1">
      <alignment vertical="center"/>
    </xf>
    <xf numFmtId="0" fontId="7" fillId="0" borderId="0" xfId="1" applyFont="1" applyAlignment="1" applyProtection="1">
      <alignment vertical="center"/>
    </xf>
    <xf numFmtId="0" fontId="39" fillId="0" borderId="0" xfId="1" applyFont="1" applyFill="1" applyAlignment="1" applyProtection="1">
      <alignment vertical="center"/>
    </xf>
    <xf numFmtId="0" fontId="7" fillId="0" borderId="0" xfId="1" applyFont="1" applyFill="1" applyAlignment="1" applyProtection="1">
      <alignment vertical="center"/>
    </xf>
    <xf numFmtId="0" fontId="0" fillId="0" borderId="0" xfId="0" applyFont="1" applyAlignment="1" applyProtection="1">
      <alignment horizontal="left" vertical="center"/>
    </xf>
    <xf numFmtId="0" fontId="23" fillId="0" borderId="20"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23" fillId="0" borderId="18" xfId="0" applyFont="1" applyBorder="1" applyAlignment="1" applyProtection="1">
      <alignment horizontal="left" vertical="center" wrapText="1"/>
    </xf>
    <xf numFmtId="0" fontId="23" fillId="0" borderId="15"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23" fillId="0" borderId="16" xfId="0" applyFont="1" applyBorder="1" applyAlignment="1" applyProtection="1">
      <alignment horizontal="left" vertical="center" wrapText="1"/>
    </xf>
    <xf numFmtId="0" fontId="0" fillId="0" borderId="20"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18" xfId="0" applyBorder="1" applyAlignment="1" applyProtection="1">
      <alignment horizontal="left" vertical="top" wrapText="1"/>
    </xf>
    <xf numFmtId="0" fontId="19" fillId="0" borderId="0" xfId="0" applyFont="1" applyBorder="1" applyAlignment="1">
      <alignment horizontal="left" vertical="center" wrapText="1"/>
    </xf>
    <xf numFmtId="0" fontId="0" fillId="0" borderId="0" xfId="0" applyBorder="1"/>
    <xf numFmtId="0" fontId="0" fillId="0" borderId="18" xfId="0" applyBorder="1"/>
    <xf numFmtId="0" fontId="0" fillId="2" borderId="2" xfId="0" applyFill="1" applyBorder="1" applyAlignment="1" applyProtection="1">
      <alignment horizontal="center"/>
      <protection locked="0"/>
    </xf>
    <xf numFmtId="14" fontId="0" fillId="2" borderId="2" xfId="0" applyNumberFormat="1" applyFill="1" applyBorder="1" applyAlignment="1" applyProtection="1">
      <alignment horizontal="center"/>
      <protection locked="0"/>
    </xf>
    <xf numFmtId="0" fontId="13" fillId="0" borderId="0" xfId="0" applyFont="1" applyBorder="1" applyAlignment="1" applyProtection="1">
      <alignment horizontal="left" textRotation="90" wrapText="1"/>
    </xf>
    <xf numFmtId="0" fontId="0" fillId="0" borderId="0" xfId="0" applyBorder="1" applyAlignment="1" applyProtection="1">
      <alignment horizontal="center" textRotation="90" wrapText="1"/>
    </xf>
    <xf numFmtId="0" fontId="0" fillId="0" borderId="4" xfId="0" applyFont="1" applyBorder="1" applyAlignment="1">
      <alignment horizontal="center"/>
    </xf>
    <xf numFmtId="0" fontId="0" fillId="0" borderId="16" xfId="0" applyFont="1" applyBorder="1" applyAlignment="1">
      <alignment horizontal="center"/>
    </xf>
    <xf numFmtId="0" fontId="0" fillId="0" borderId="13" xfId="0" applyBorder="1" applyAlignment="1">
      <alignment horizontal="center"/>
    </xf>
    <xf numFmtId="0" fontId="0" fillId="0" borderId="19" xfId="0" applyBorder="1" applyAlignment="1">
      <alignment horizontal="center"/>
    </xf>
    <xf numFmtId="0" fontId="0" fillId="0" borderId="14" xfId="0" applyBorder="1" applyAlignment="1">
      <alignment horizontal="center"/>
    </xf>
    <xf numFmtId="0" fontId="0" fillId="0" borderId="20" xfId="0" applyBorder="1" applyAlignment="1">
      <alignment horizontal="center"/>
    </xf>
    <xf numFmtId="0" fontId="0" fillId="0" borderId="18"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5"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0" fillId="0" borderId="20" xfId="0" applyFont="1" applyBorder="1" applyAlignment="1">
      <alignment horizontal="center"/>
    </xf>
    <xf numFmtId="0" fontId="0" fillId="0" borderId="18" xfId="0" applyFont="1" applyBorder="1" applyAlignment="1">
      <alignment horizontal="center"/>
    </xf>
    <xf numFmtId="0" fontId="0" fillId="0" borderId="4" xfId="0" applyBorder="1" applyAlignment="1">
      <alignment horizontal="center"/>
    </xf>
    <xf numFmtId="0" fontId="0" fillId="0" borderId="0" xfId="0" applyAlignment="1">
      <alignment wrapText="1"/>
    </xf>
    <xf numFmtId="0" fontId="27" fillId="0" borderId="0" xfId="0" applyFont="1" applyAlignment="1" applyProtection="1">
      <alignment vertical="center" wrapText="1"/>
    </xf>
    <xf numFmtId="0" fontId="0" fillId="0" borderId="0" xfId="0" applyFont="1" applyAlignment="1" applyProtection="1">
      <alignment horizontal="left" vertical="center"/>
    </xf>
    <xf numFmtId="0" fontId="27" fillId="0" borderId="0" xfId="0" applyFont="1" applyAlignment="1" applyProtection="1">
      <alignment wrapText="1"/>
    </xf>
    <xf numFmtId="0" fontId="0" fillId="0" borderId="0" xfId="0" applyFont="1" applyAlignment="1"/>
  </cellXfs>
  <cellStyles count="2">
    <cellStyle name="Normal" xfId="0" builtinId="0"/>
    <cellStyle name="Normal 2" xfId="1"/>
  </cellStyles>
  <dxfs count="2">
    <dxf>
      <font>
        <color rgb="FF00FF00"/>
      </font>
    </dxf>
    <dxf>
      <font>
        <color rgb="FF00FF00"/>
      </font>
    </dxf>
  </dxfs>
  <tableStyles count="0" defaultTableStyle="TableStyleMedium9" defaultPivotStyle="PivotStyleLight16"/>
  <colors>
    <mruColors>
      <color rgb="FFFFFF99"/>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Drop</a:t>
            </a:r>
            <a:r>
              <a:rPr lang="en-US" baseline="0"/>
              <a:t> Structure Outflow Capacity</a:t>
            </a:r>
            <a:endParaRPr lang="en-US"/>
          </a:p>
        </c:rich>
      </c:tx>
    </c:title>
    <c:plotArea>
      <c:layout/>
      <c:scatterChart>
        <c:scatterStyle val="smoothMarker"/>
        <c:ser>
          <c:idx val="0"/>
          <c:order val="0"/>
          <c:tx>
            <c:v>Freeflow Head</c:v>
          </c:tx>
          <c:xVal>
            <c:numRef>
              <c:f>Design!$D$36:$D$40</c:f>
              <c:numCache>
                <c:formatCode>0.0</c:formatCode>
                <c:ptCount val="5"/>
                <c:pt idx="0">
                  <c:v>39.310344814924271</c:v>
                </c:pt>
                <c:pt idx="1">
                  <c:v>111.18644555765755</c:v>
                </c:pt>
                <c:pt idx="2">
                  <c:v>204.26254344750177</c:v>
                </c:pt>
                <c:pt idx="3">
                  <c:v>314.48275851939417</c:v>
                </c:pt>
                <c:pt idx="4">
                  <c:v>439.50301612563538</c:v>
                </c:pt>
              </c:numCache>
            </c:numRef>
          </c:xVal>
          <c:yVal>
            <c:numRef>
              <c:f>Design!$A$36:$A$40</c:f>
              <c:numCache>
                <c:formatCode>0.00</c:formatCode>
                <c:ptCount val="5"/>
                <c:pt idx="0">
                  <c:v>0.56799999999999995</c:v>
                </c:pt>
                <c:pt idx="1">
                  <c:v>1.1359999999999999</c:v>
                </c:pt>
                <c:pt idx="2">
                  <c:v>1.7039999999999997</c:v>
                </c:pt>
                <c:pt idx="3">
                  <c:v>2.2719999999999998</c:v>
                </c:pt>
                <c:pt idx="4">
                  <c:v>2.84</c:v>
                </c:pt>
              </c:numCache>
            </c:numRef>
          </c:yVal>
          <c:smooth val="1"/>
        </c:ser>
        <c:ser>
          <c:idx val="1"/>
          <c:order val="1"/>
          <c:tx>
            <c:v>Submerged, No Freeboard</c:v>
          </c:tx>
          <c:xVal>
            <c:numRef>
              <c:f>Design!$D$36:$D$40</c:f>
              <c:numCache>
                <c:formatCode>0.0</c:formatCode>
                <c:ptCount val="5"/>
                <c:pt idx="0">
                  <c:v>39.310344814924271</c:v>
                </c:pt>
                <c:pt idx="1">
                  <c:v>111.18644555765755</c:v>
                </c:pt>
                <c:pt idx="2">
                  <c:v>204.26254344750177</c:v>
                </c:pt>
                <c:pt idx="3">
                  <c:v>314.48275851939417</c:v>
                </c:pt>
                <c:pt idx="4">
                  <c:v>439.50301612563538</c:v>
                </c:pt>
              </c:numCache>
            </c:numRef>
          </c:xVal>
          <c:yVal>
            <c:numRef>
              <c:f>Design!$J$36:$J$40</c:f>
              <c:numCache>
                <c:formatCode>0.00</c:formatCode>
                <c:ptCount val="5"/>
                <c:pt idx="0">
                  <c:v>0.56799999999999995</c:v>
                </c:pt>
                <c:pt idx="1">
                  <c:v>1.1359999999999999</c:v>
                </c:pt>
                <c:pt idx="2">
                  <c:v>1.7330424629674428</c:v>
                </c:pt>
                <c:pt idx="3">
                  <c:v>2.3854267523066781</c:v>
                </c:pt>
                <c:pt idx="4">
                  <c:v>2.9489729788454349</c:v>
                </c:pt>
              </c:numCache>
            </c:numRef>
          </c:yVal>
          <c:smooth val="1"/>
        </c:ser>
        <c:ser>
          <c:idx val="2"/>
          <c:order val="2"/>
          <c:tx>
            <c:v>Submerged, Freeboard</c:v>
          </c:tx>
          <c:xVal>
            <c:numRef>
              <c:f>Design!$D$36:$D$40</c:f>
              <c:numCache>
                <c:formatCode>0.0</c:formatCode>
                <c:ptCount val="5"/>
                <c:pt idx="0">
                  <c:v>39.310344814924271</c:v>
                </c:pt>
                <c:pt idx="1">
                  <c:v>111.18644555765755</c:v>
                </c:pt>
                <c:pt idx="2">
                  <c:v>204.26254344750177</c:v>
                </c:pt>
                <c:pt idx="3">
                  <c:v>314.48275851939417</c:v>
                </c:pt>
                <c:pt idx="4">
                  <c:v>439.50301612563538</c:v>
                </c:pt>
              </c:numCache>
            </c:numRef>
          </c:xVal>
          <c:yVal>
            <c:numRef>
              <c:f>Design!$M$36:$M$40</c:f>
              <c:numCache>
                <c:formatCode>0.00</c:formatCode>
                <c:ptCount val="5"/>
                <c:pt idx="0">
                  <c:v>0.63615999999999995</c:v>
                </c:pt>
                <c:pt idx="1">
                  <c:v>1.2723199999999999</c:v>
                </c:pt>
                <c:pt idx="2">
                  <c:v>1.941007558523536</c:v>
                </c:pt>
                <c:pt idx="3">
                  <c:v>2.6716779625834794</c:v>
                </c:pt>
                <c:pt idx="4">
                  <c:v>3.3028497363068872</c:v>
                </c:pt>
              </c:numCache>
            </c:numRef>
          </c:yVal>
          <c:smooth val="1"/>
        </c:ser>
        <c:axId val="80648832"/>
        <c:axId val="80655488"/>
      </c:scatterChart>
      <c:valAx>
        <c:axId val="80648832"/>
        <c:scaling>
          <c:orientation val="minMax"/>
        </c:scaling>
        <c:axPos val="b"/>
        <c:majorGridlines/>
        <c:minorGridlines/>
        <c:title>
          <c:tx>
            <c:rich>
              <a:bodyPr/>
              <a:lstStyle/>
              <a:p>
                <a:pPr>
                  <a:defRPr/>
                </a:pPr>
                <a:r>
                  <a:rPr lang="en-US"/>
                  <a:t>Outflow, Q, cfs</a:t>
                </a:r>
              </a:p>
            </c:rich>
          </c:tx>
        </c:title>
        <c:numFmt formatCode="0.0" sourceLinked="1"/>
        <c:tickLblPos val="nextTo"/>
        <c:crossAx val="80655488"/>
        <c:crosses val="autoZero"/>
        <c:crossBetween val="midCat"/>
      </c:valAx>
      <c:valAx>
        <c:axId val="80655488"/>
        <c:scaling>
          <c:orientation val="minMax"/>
        </c:scaling>
        <c:axPos val="l"/>
        <c:majorGridlines/>
        <c:minorGridlines/>
        <c:title>
          <c:tx>
            <c:rich>
              <a:bodyPr rot="-5400000" vert="horz"/>
              <a:lstStyle/>
              <a:p>
                <a:pPr>
                  <a:defRPr/>
                </a:pPr>
                <a:r>
                  <a:rPr lang="en-US"/>
                  <a:t>Head, H, ft</a:t>
                </a:r>
              </a:p>
            </c:rich>
          </c:tx>
        </c:title>
        <c:numFmt formatCode="0.00" sourceLinked="1"/>
        <c:tickLblPos val="nextTo"/>
        <c:crossAx val="80648832"/>
        <c:crosses val="autoZero"/>
        <c:crossBetween val="midCat"/>
      </c:valAx>
    </c:plotArea>
    <c:legend>
      <c:legendPos val="b"/>
    </c:legend>
    <c:plotVisOnly val="1"/>
  </c:chart>
  <c:printSettings>
    <c:headerFooter/>
    <c:pageMargins b="0.750000000000002" l="0.70000000000000095" r="0.70000000000000095" t="0.750000000000002" header="0.30000000000000032" footer="0.30000000000000032"/>
    <c:pageSetup orientation="portrait" horizontalDpi="1200" verticalDpi="1200"/>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127002</xdr:colOff>
      <xdr:row>47</xdr:row>
      <xdr:rowOff>174625</xdr:rowOff>
    </xdr:from>
    <xdr:to>
      <xdr:col>12</xdr:col>
      <xdr:colOff>323851</xdr:colOff>
      <xdr:row>89</xdr:row>
      <xdr:rowOff>9525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28576</xdr:colOff>
      <xdr:row>1</xdr:row>
      <xdr:rowOff>9523</xdr:rowOff>
    </xdr:from>
    <xdr:to>
      <xdr:col>9</xdr:col>
      <xdr:colOff>581025</xdr:colOff>
      <xdr:row>47</xdr:row>
      <xdr:rowOff>47624</xdr:rowOff>
    </xdr:to>
    <xdr:sp macro="" textlink="">
      <xdr:nvSpPr>
        <xdr:cNvPr id="2" name="TextBox 1"/>
        <xdr:cNvSpPr txBox="1"/>
      </xdr:nvSpPr>
      <xdr:spPr>
        <a:xfrm>
          <a:off x="28576" y="200023"/>
          <a:ext cx="5915024" cy="88011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100" b="1">
              <a:solidFill>
                <a:schemeClr val="dk1"/>
              </a:solidFill>
              <a:latin typeface="+mn-lt"/>
              <a:ea typeface="+mn-ea"/>
              <a:cs typeface="+mn-cs"/>
            </a:rPr>
            <a:t>SEMICIRCULAR-INLET  DROP STRUCTURE HYDRAULICS</a:t>
          </a:r>
        </a:p>
        <a:p>
          <a:pPr algn="ctr"/>
          <a:r>
            <a:rPr lang="en-US" sz="1100" b="1">
              <a:solidFill>
                <a:schemeClr val="dk1"/>
              </a:solidFill>
              <a:latin typeface="+mn-lt"/>
              <a:ea typeface="+mn-ea"/>
              <a:cs typeface="+mn-cs"/>
            </a:rPr>
            <a:t>INSTRUCTIONS FOR USE OF SPREADSHEET</a:t>
          </a:r>
        </a:p>
        <a:p>
          <a:r>
            <a:rPr lang="en-US" sz="1100">
              <a:solidFill>
                <a:schemeClr val="dk1"/>
              </a:solidFill>
              <a:latin typeface="+mn-lt"/>
              <a:ea typeface="+mn-ea"/>
              <a:cs typeface="+mn-cs"/>
            </a:rPr>
            <a:t> </a:t>
          </a:r>
          <a:r>
            <a:rPr lang="en-US" sz="1100" b="1">
              <a:solidFill>
                <a:schemeClr val="dk1"/>
              </a:solidFill>
              <a:latin typeface="+mn-lt"/>
              <a:ea typeface="+mn-ea"/>
              <a:cs typeface="+mn-cs"/>
            </a:rPr>
            <a:t>Background</a:t>
          </a:r>
          <a:endParaRPr lang="en-US" sz="1100">
            <a:solidFill>
              <a:schemeClr val="dk1"/>
            </a:solidFill>
            <a:latin typeface="+mn-lt"/>
            <a:ea typeface="+mn-ea"/>
            <a:cs typeface="+mn-cs"/>
          </a:endParaRPr>
        </a:p>
        <a:p>
          <a:r>
            <a:rPr lang="en-US" sz="1100">
              <a:solidFill>
                <a:schemeClr val="dk1"/>
              </a:solidFill>
              <a:latin typeface="+mn-lt"/>
              <a:ea typeface="+mn-ea"/>
              <a:cs typeface="+mn-cs"/>
            </a:rPr>
            <a:t> Hydraulic capacity computations for the semicircular-inlet drop structure are based on a model study done by Steve M. Becker, Research Assistant at the University of Minnesota, and George R. Foster, Hydraulic Engineer with the ARS National Sedimentation Laboratory, Oxford, MS. Data from the study was presented to the ASAE in 1991; then peer-reviewed and published in the Transactions of the ASAE in 1993, in a paper entitled “Hydraulics of Semicircular-Inlet Drop Structures”.  </a:t>
          </a:r>
        </a:p>
        <a:p>
          <a:r>
            <a:rPr lang="en-US" sz="1100">
              <a:solidFill>
                <a:schemeClr val="dk1"/>
              </a:solidFill>
              <a:latin typeface="+mn-lt"/>
              <a:ea typeface="+mn-ea"/>
              <a:cs typeface="+mn-cs"/>
            </a:rPr>
            <a:t> </a:t>
          </a:r>
        </a:p>
        <a:p>
          <a:r>
            <a:rPr lang="en-US" sz="1100">
              <a:solidFill>
                <a:schemeClr val="dk1"/>
              </a:solidFill>
              <a:latin typeface="+mn-lt"/>
              <a:ea typeface="+mn-ea"/>
              <a:cs typeface="+mn-cs"/>
            </a:rPr>
            <a:t>The study evaluated both weir control and headwall control under free-outlet conditions.  Hydraulic capacity of the structure is the lower of flow volumes computed for weir control and headwall control, using the following equations:</a:t>
          </a:r>
        </a:p>
        <a:p>
          <a:r>
            <a:rPr lang="en-US" sz="1100">
              <a:solidFill>
                <a:schemeClr val="dk1"/>
              </a:solidFill>
              <a:latin typeface="+mn-lt"/>
              <a:ea typeface="+mn-ea"/>
              <a:cs typeface="+mn-cs"/>
            </a:rPr>
            <a:t>Q</a:t>
          </a:r>
          <a:r>
            <a:rPr lang="en-US" sz="1100" baseline="-25000">
              <a:solidFill>
                <a:schemeClr val="dk1"/>
              </a:solidFill>
              <a:latin typeface="+mn-lt"/>
              <a:ea typeface="+mn-ea"/>
              <a:cs typeface="+mn-cs"/>
            </a:rPr>
            <a:t>weir</a:t>
          </a:r>
          <a:r>
            <a:rPr lang="en-US" sz="1100">
              <a:solidFill>
                <a:schemeClr val="dk1"/>
              </a:solidFill>
              <a:latin typeface="+mn-lt"/>
              <a:ea typeface="+mn-ea"/>
              <a:cs typeface="+mn-cs"/>
            </a:rPr>
            <a:t> = C</a:t>
          </a:r>
          <a:r>
            <a:rPr lang="en-US" sz="1100" baseline="-25000">
              <a:solidFill>
                <a:schemeClr val="dk1"/>
              </a:solidFill>
              <a:latin typeface="+mn-lt"/>
              <a:ea typeface="+mn-ea"/>
              <a:cs typeface="+mn-cs"/>
            </a:rPr>
            <a:t>weir</a:t>
          </a:r>
          <a:r>
            <a:rPr lang="en-US" sz="1100">
              <a:solidFill>
                <a:schemeClr val="dk1"/>
              </a:solidFill>
              <a:latin typeface="+mn-lt"/>
              <a:ea typeface="+mn-ea"/>
              <a:cs typeface="+mn-cs"/>
            </a:rPr>
            <a:t> L H</a:t>
          </a:r>
          <a:r>
            <a:rPr lang="en-US" sz="1100" baseline="30000">
              <a:solidFill>
                <a:schemeClr val="dk1"/>
              </a:solidFill>
              <a:latin typeface="+mn-lt"/>
              <a:ea typeface="+mn-ea"/>
              <a:cs typeface="+mn-cs"/>
            </a:rPr>
            <a:t>3/2</a:t>
          </a:r>
          <a:r>
            <a:rPr lang="en-US" sz="1100">
              <a:solidFill>
                <a:schemeClr val="dk1"/>
              </a:solidFill>
              <a:latin typeface="+mn-lt"/>
              <a:ea typeface="+mn-ea"/>
              <a:cs typeface="+mn-cs"/>
            </a:rPr>
            <a:t>                 where C</a:t>
          </a:r>
          <a:r>
            <a:rPr lang="en-US" sz="1100" baseline="-25000">
              <a:solidFill>
                <a:schemeClr val="dk1"/>
              </a:solidFill>
              <a:latin typeface="+mn-lt"/>
              <a:ea typeface="+mn-ea"/>
              <a:cs typeface="+mn-cs"/>
            </a:rPr>
            <a:t>weir</a:t>
          </a:r>
          <a:r>
            <a:rPr lang="en-US" sz="1100">
              <a:solidFill>
                <a:schemeClr val="dk1"/>
              </a:solidFill>
              <a:latin typeface="+mn-lt"/>
              <a:ea typeface="+mn-ea"/>
              <a:cs typeface="+mn-cs"/>
            </a:rPr>
            <a:t> = C</a:t>
          </a:r>
          <a:r>
            <a:rPr lang="en-US" sz="1100" baseline="-25000">
              <a:solidFill>
                <a:schemeClr val="dk1"/>
              </a:solidFill>
              <a:latin typeface="+mn-lt"/>
              <a:ea typeface="+mn-ea"/>
              <a:cs typeface="+mn-cs"/>
            </a:rPr>
            <a:t>1</a:t>
          </a:r>
          <a:r>
            <a:rPr lang="en-US" sz="1100">
              <a:solidFill>
                <a:schemeClr val="dk1"/>
              </a:solidFill>
              <a:latin typeface="+mn-lt"/>
              <a:ea typeface="+mn-ea"/>
              <a:cs typeface="+mn-cs"/>
            </a:rPr>
            <a:t> (2g)</a:t>
          </a:r>
          <a:r>
            <a:rPr lang="en-US" sz="1100" baseline="30000">
              <a:solidFill>
                <a:schemeClr val="dk1"/>
              </a:solidFill>
              <a:latin typeface="+mn-lt"/>
              <a:ea typeface="+mn-ea"/>
              <a:cs typeface="+mn-cs"/>
            </a:rPr>
            <a:t>1/2</a:t>
          </a:r>
          <a:endParaRPr lang="en-US" sz="1100">
            <a:solidFill>
              <a:schemeClr val="dk1"/>
            </a:solidFill>
            <a:latin typeface="+mn-lt"/>
            <a:ea typeface="+mn-ea"/>
            <a:cs typeface="+mn-cs"/>
          </a:endParaRPr>
        </a:p>
        <a:p>
          <a:r>
            <a:rPr lang="en-US" sz="1100">
              <a:solidFill>
                <a:schemeClr val="dk1"/>
              </a:solidFill>
              <a:latin typeface="+mn-lt"/>
              <a:ea typeface="+mn-ea"/>
              <a:cs typeface="+mn-cs"/>
            </a:rPr>
            <a:t>Q</a:t>
          </a:r>
          <a:r>
            <a:rPr lang="en-US" sz="1100" baseline="-25000">
              <a:solidFill>
                <a:schemeClr val="dk1"/>
              </a:solidFill>
              <a:latin typeface="+mn-lt"/>
              <a:ea typeface="+mn-ea"/>
              <a:cs typeface="+mn-cs"/>
            </a:rPr>
            <a:t>hw</a:t>
          </a:r>
          <a:r>
            <a:rPr lang="en-US" sz="1100">
              <a:solidFill>
                <a:schemeClr val="dk1"/>
              </a:solidFill>
              <a:latin typeface="+mn-lt"/>
              <a:ea typeface="+mn-ea"/>
              <a:cs typeface="+mn-cs"/>
            </a:rPr>
            <a:t>  =  C</a:t>
          </a:r>
          <a:r>
            <a:rPr lang="en-US" sz="1100" baseline="-25000">
              <a:solidFill>
                <a:schemeClr val="dk1"/>
              </a:solidFill>
              <a:latin typeface="+mn-lt"/>
              <a:ea typeface="+mn-ea"/>
              <a:cs typeface="+mn-cs"/>
            </a:rPr>
            <a:t>hw</a:t>
          </a:r>
          <a:r>
            <a:rPr lang="en-US" sz="1100">
              <a:solidFill>
                <a:schemeClr val="dk1"/>
              </a:solidFill>
              <a:latin typeface="+mn-lt"/>
              <a:ea typeface="+mn-ea"/>
              <a:cs typeface="+mn-cs"/>
            </a:rPr>
            <a:t> W (H - H</a:t>
          </a:r>
          <a:r>
            <a:rPr lang="en-US" sz="1100" baseline="-25000">
              <a:solidFill>
                <a:schemeClr val="dk1"/>
              </a:solidFill>
              <a:latin typeface="+mn-lt"/>
              <a:ea typeface="+mn-ea"/>
              <a:cs typeface="+mn-cs"/>
            </a:rPr>
            <a:t>02</a:t>
          </a:r>
          <a:r>
            <a:rPr lang="en-US" sz="1100">
              <a:solidFill>
                <a:schemeClr val="dk1"/>
              </a:solidFill>
              <a:latin typeface="+mn-lt"/>
              <a:ea typeface="+mn-ea"/>
              <a:cs typeface="+mn-cs"/>
            </a:rPr>
            <a:t>)</a:t>
          </a:r>
          <a:r>
            <a:rPr lang="en-US" sz="1100" baseline="30000">
              <a:solidFill>
                <a:schemeClr val="dk1"/>
              </a:solidFill>
              <a:latin typeface="+mn-lt"/>
              <a:ea typeface="+mn-ea"/>
              <a:cs typeface="+mn-cs"/>
            </a:rPr>
            <a:t>3/2</a:t>
          </a:r>
          <a:r>
            <a:rPr lang="en-US" sz="1100">
              <a:solidFill>
                <a:schemeClr val="dk1"/>
              </a:solidFill>
              <a:latin typeface="+mn-lt"/>
              <a:ea typeface="+mn-ea"/>
              <a:cs typeface="+mn-cs"/>
            </a:rPr>
            <a:t>     where C</a:t>
          </a:r>
          <a:r>
            <a:rPr lang="en-US" sz="1100" baseline="-25000">
              <a:solidFill>
                <a:schemeClr val="dk1"/>
              </a:solidFill>
              <a:latin typeface="+mn-lt"/>
              <a:ea typeface="+mn-ea"/>
              <a:cs typeface="+mn-cs"/>
            </a:rPr>
            <a:t>hw</a:t>
          </a:r>
          <a:r>
            <a:rPr lang="en-US" sz="1100">
              <a:solidFill>
                <a:schemeClr val="dk1"/>
              </a:solidFill>
              <a:latin typeface="+mn-lt"/>
              <a:ea typeface="+mn-ea"/>
              <a:cs typeface="+mn-cs"/>
            </a:rPr>
            <a:t>  = C</a:t>
          </a:r>
          <a:r>
            <a:rPr lang="en-US" sz="1100" baseline="-25000">
              <a:solidFill>
                <a:schemeClr val="dk1"/>
              </a:solidFill>
              <a:latin typeface="+mn-lt"/>
              <a:ea typeface="+mn-ea"/>
              <a:cs typeface="+mn-cs"/>
            </a:rPr>
            <a:t>2</a:t>
          </a:r>
          <a:r>
            <a:rPr lang="en-US" sz="1100">
              <a:solidFill>
                <a:schemeClr val="dk1"/>
              </a:solidFill>
              <a:latin typeface="+mn-lt"/>
              <a:ea typeface="+mn-ea"/>
              <a:cs typeface="+mn-cs"/>
            </a:rPr>
            <a:t> (2g)</a:t>
          </a:r>
          <a:r>
            <a:rPr lang="en-US" sz="1100" baseline="30000">
              <a:solidFill>
                <a:schemeClr val="dk1"/>
              </a:solidFill>
              <a:latin typeface="+mn-lt"/>
              <a:ea typeface="+mn-ea"/>
              <a:cs typeface="+mn-cs"/>
            </a:rPr>
            <a:t>1/2  </a:t>
          </a:r>
          <a:r>
            <a:rPr lang="en-US" sz="1100">
              <a:solidFill>
                <a:schemeClr val="dk1"/>
              </a:solidFill>
              <a:latin typeface="+mn-lt"/>
              <a:ea typeface="+mn-ea"/>
              <a:cs typeface="+mn-cs"/>
            </a:rPr>
            <a:t> and (H-H</a:t>
          </a:r>
          <a:r>
            <a:rPr lang="en-US" sz="1100" baseline="-25000">
              <a:solidFill>
                <a:schemeClr val="dk1"/>
              </a:solidFill>
              <a:latin typeface="+mn-lt"/>
              <a:ea typeface="+mn-ea"/>
              <a:cs typeface="+mn-cs"/>
            </a:rPr>
            <a:t>02</a:t>
          </a:r>
          <a:r>
            <a:rPr lang="en-US" sz="1100">
              <a:solidFill>
                <a:schemeClr val="dk1"/>
              </a:solidFill>
              <a:latin typeface="+mn-lt"/>
              <a:ea typeface="+mn-ea"/>
              <a:cs typeface="+mn-cs"/>
            </a:rPr>
            <a:t>) is the effective headwall opening  height.</a:t>
          </a:r>
        </a:p>
        <a:p>
          <a:endParaRPr lang="en-US"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latin typeface="+mn-lt"/>
              <a:ea typeface="+mn-ea"/>
              <a:cs typeface="+mn-cs"/>
            </a:rPr>
            <a:t>The study  determined</a:t>
          </a:r>
          <a:r>
            <a:rPr lang="en-US" sz="1100" baseline="0">
              <a:solidFill>
                <a:schemeClr val="dk1"/>
              </a:solidFill>
              <a:latin typeface="+mn-lt"/>
              <a:ea typeface="+mn-ea"/>
              <a:cs typeface="+mn-cs"/>
            </a:rPr>
            <a:t> values of C</a:t>
          </a:r>
          <a:r>
            <a:rPr lang="en-US" sz="1100" baseline="-25000">
              <a:solidFill>
                <a:schemeClr val="dk1"/>
              </a:solidFill>
              <a:latin typeface="+mn-lt"/>
              <a:ea typeface="+mn-ea"/>
              <a:cs typeface="+mn-cs"/>
            </a:rPr>
            <a:t>1</a:t>
          </a:r>
          <a:r>
            <a:rPr lang="en-US" sz="1100" baseline="0">
              <a:solidFill>
                <a:schemeClr val="dk1"/>
              </a:solidFill>
              <a:latin typeface="+mn-lt"/>
              <a:ea typeface="+mn-ea"/>
              <a:cs typeface="+mn-cs"/>
            </a:rPr>
            <a:t>, C</a:t>
          </a:r>
          <a:r>
            <a:rPr lang="en-US" sz="1100" baseline="-25000">
              <a:solidFill>
                <a:schemeClr val="dk1"/>
              </a:solidFill>
              <a:latin typeface="+mn-lt"/>
              <a:ea typeface="+mn-ea"/>
              <a:cs typeface="+mn-cs"/>
            </a:rPr>
            <a:t>2</a:t>
          </a:r>
          <a:r>
            <a:rPr lang="en-US" sz="1100" baseline="0">
              <a:solidFill>
                <a:schemeClr val="dk1"/>
              </a:solidFill>
              <a:latin typeface="+mn-lt"/>
              <a:ea typeface="+mn-ea"/>
              <a:cs typeface="+mn-cs"/>
            </a:rPr>
            <a:t> and H</a:t>
          </a:r>
          <a:r>
            <a:rPr lang="en-US" sz="1100" baseline="-25000">
              <a:solidFill>
                <a:schemeClr val="dk1"/>
              </a:solidFill>
              <a:latin typeface="+mn-lt"/>
              <a:ea typeface="+mn-ea"/>
              <a:cs typeface="+mn-cs"/>
            </a:rPr>
            <a:t>02</a:t>
          </a:r>
          <a:r>
            <a:rPr lang="en-US" sz="1100" baseline="0">
              <a:solidFill>
                <a:schemeClr val="dk1"/>
              </a:solidFill>
              <a:latin typeface="+mn-lt"/>
              <a:ea typeface="+mn-ea"/>
              <a:cs typeface="+mn-cs"/>
            </a:rPr>
            <a:t> for a range of flows and  structure sizes.  </a:t>
          </a:r>
          <a:r>
            <a:rPr lang="en-US" sz="1100">
              <a:solidFill>
                <a:schemeClr val="dk1"/>
              </a:solidFill>
              <a:latin typeface="+mn-lt"/>
              <a:ea typeface="+mn-ea"/>
              <a:cs typeface="+mn-cs"/>
            </a:rPr>
            <a:t>C</a:t>
          </a:r>
          <a:r>
            <a:rPr lang="en-US" sz="1100" baseline="-25000">
              <a:solidFill>
                <a:schemeClr val="dk1"/>
              </a:solidFill>
              <a:latin typeface="+mn-lt"/>
              <a:ea typeface="+mn-ea"/>
              <a:cs typeface="+mn-cs"/>
            </a:rPr>
            <a:t>1</a:t>
          </a:r>
          <a:r>
            <a:rPr lang="en-US" sz="1100">
              <a:solidFill>
                <a:schemeClr val="dk1"/>
              </a:solidFill>
              <a:latin typeface="+mn-lt"/>
              <a:ea typeface="+mn-ea"/>
              <a:cs typeface="+mn-cs"/>
            </a:rPr>
            <a:t>, C</a:t>
          </a:r>
          <a:r>
            <a:rPr lang="en-US" sz="1100" baseline="-25000">
              <a:solidFill>
                <a:schemeClr val="dk1"/>
              </a:solidFill>
              <a:latin typeface="+mn-lt"/>
              <a:ea typeface="+mn-ea"/>
              <a:cs typeface="+mn-cs"/>
            </a:rPr>
            <a:t>2</a:t>
          </a:r>
          <a:r>
            <a:rPr lang="en-US" sz="1100">
              <a:solidFill>
                <a:schemeClr val="dk1"/>
              </a:solidFill>
              <a:latin typeface="+mn-lt"/>
              <a:ea typeface="+mn-ea"/>
              <a:cs typeface="+mn-cs"/>
            </a:rPr>
            <a:t>, and H</a:t>
          </a:r>
          <a:r>
            <a:rPr lang="en-US" sz="1100" baseline="-25000">
              <a:solidFill>
                <a:schemeClr val="dk1"/>
              </a:solidFill>
              <a:latin typeface="+mn-lt"/>
              <a:ea typeface="+mn-ea"/>
              <a:cs typeface="+mn-cs"/>
            </a:rPr>
            <a:t>02</a:t>
          </a:r>
          <a:r>
            <a:rPr lang="en-US" sz="1100">
              <a:solidFill>
                <a:schemeClr val="dk1"/>
              </a:solidFill>
              <a:latin typeface="+mn-lt"/>
              <a:ea typeface="+mn-ea"/>
              <a:cs typeface="+mn-cs"/>
            </a:rPr>
            <a:t> were found to vary depending</a:t>
          </a:r>
          <a:r>
            <a:rPr lang="en-US" sz="1100" baseline="0">
              <a:solidFill>
                <a:schemeClr val="dk1"/>
              </a:solidFill>
              <a:latin typeface="+mn-lt"/>
              <a:ea typeface="+mn-ea"/>
              <a:cs typeface="+mn-cs"/>
            </a:rPr>
            <a:t> on certain structure proportions. </a:t>
          </a:r>
          <a:r>
            <a:rPr lang="en-US" sz="1100">
              <a:solidFill>
                <a:schemeClr val="dk1"/>
              </a:solidFill>
              <a:latin typeface="+mn-lt"/>
              <a:ea typeface="+mn-ea"/>
              <a:cs typeface="+mn-cs"/>
            </a:rPr>
            <a:t>The effect of submergence was then measured as the increase in head over the free-flow head relative to the increase in tailwater.</a:t>
          </a:r>
        </a:p>
        <a:p>
          <a:endParaRPr lang="en-US" sz="1100">
            <a:solidFill>
              <a:schemeClr val="dk1"/>
            </a:solidFill>
            <a:latin typeface="+mn-lt"/>
            <a:ea typeface="+mn-ea"/>
            <a:cs typeface="+mn-cs"/>
          </a:endParaRPr>
        </a:p>
        <a:p>
          <a:r>
            <a:rPr lang="en-US" sz="1100">
              <a:solidFill>
                <a:schemeClr val="dk1"/>
              </a:solidFill>
              <a:latin typeface="+mn-lt"/>
              <a:ea typeface="+mn-ea"/>
              <a:cs typeface="+mn-cs"/>
            </a:rPr>
            <a:t>The study found that the design approach used in the past by NRCS for semicircular weir structures, using the weir formula, Q = 3.1LH</a:t>
          </a:r>
          <a:r>
            <a:rPr lang="en-US" sz="1100" baseline="30000">
              <a:solidFill>
                <a:schemeClr val="dk1"/>
              </a:solidFill>
              <a:latin typeface="+mn-lt"/>
              <a:ea typeface="+mn-ea"/>
              <a:cs typeface="+mn-cs"/>
            </a:rPr>
            <a:t>3/2</a:t>
          </a:r>
          <a:r>
            <a:rPr lang="en-US" sz="1100">
              <a:solidFill>
                <a:schemeClr val="dk1"/>
              </a:solidFill>
              <a:latin typeface="+mn-lt"/>
              <a:ea typeface="+mn-ea"/>
              <a:cs typeface="+mn-cs"/>
            </a:rPr>
            <a:t>, does not always compare well with the observed flow capacities. It does not consider headwall control, the amount of submergence, or the impact of structure proportions (such as the width of the approach channel).  The formula is not always conservative in determining the flow capacity of a given structure.</a:t>
          </a:r>
        </a:p>
        <a:p>
          <a:r>
            <a:rPr lang="en-US" sz="1100">
              <a:solidFill>
                <a:schemeClr val="dk1"/>
              </a:solidFill>
              <a:latin typeface="+mn-lt"/>
              <a:ea typeface="+mn-ea"/>
              <a:cs typeface="+mn-cs"/>
            </a:rPr>
            <a:t> </a:t>
          </a:r>
        </a:p>
        <a:p>
          <a:r>
            <a:rPr lang="en-US" sz="1100" b="1">
              <a:solidFill>
                <a:schemeClr val="dk1"/>
              </a:solidFill>
              <a:latin typeface="+mn-lt"/>
              <a:ea typeface="+mn-ea"/>
              <a:cs typeface="+mn-cs"/>
            </a:rPr>
            <a:t>Structures  Appropriate for Use of Spreadsheet</a:t>
          </a:r>
          <a:endParaRPr lang="en-US"/>
        </a:p>
        <a:p>
          <a:r>
            <a:rPr lang="en-US" sz="1100">
              <a:solidFill>
                <a:schemeClr val="dk1"/>
              </a:solidFill>
              <a:latin typeface="+mn-lt"/>
              <a:ea typeface="+mn-ea"/>
              <a:cs typeface="+mn-cs"/>
            </a:rPr>
            <a:t>This spreadsheet was developed primarily for</a:t>
          </a:r>
          <a:r>
            <a:rPr lang="en-US" sz="1100" baseline="0">
              <a:solidFill>
                <a:schemeClr val="dk1"/>
              </a:solidFill>
              <a:latin typeface="+mn-lt"/>
              <a:ea typeface="+mn-ea"/>
              <a:cs typeface="+mn-cs"/>
            </a:rPr>
            <a:t> use with </a:t>
          </a:r>
          <a:r>
            <a:rPr lang="en-US" sz="1100">
              <a:solidFill>
                <a:schemeClr val="dk1"/>
              </a:solidFill>
              <a:latin typeface="+mn-lt"/>
              <a:ea typeface="+mn-ea"/>
              <a:cs typeface="+mn-cs"/>
            </a:rPr>
            <a:t>NRCS's standard corrugated aluminum drop structures, but may</a:t>
          </a:r>
          <a:r>
            <a:rPr lang="en-US" sz="1100" baseline="0">
              <a:solidFill>
                <a:schemeClr val="dk1"/>
              </a:solidFill>
              <a:latin typeface="+mn-lt"/>
              <a:ea typeface="+mn-ea"/>
              <a:cs typeface="+mn-cs"/>
            </a:rPr>
            <a:t> be used to determine hydraulic capacity for any semicircular weir, including corrugated steel, concrete or sheet pile drop structures .  Input dropdown tables provide for selection of standard sizes for the aluminum structure, but the user may type in a non-standard dimension if needed.</a:t>
          </a:r>
          <a:endParaRPr lang="en-US" sz="1100">
            <a:solidFill>
              <a:schemeClr val="dk1"/>
            </a:solidFill>
            <a:latin typeface="+mn-lt"/>
            <a:ea typeface="+mn-ea"/>
            <a:cs typeface="+mn-cs"/>
          </a:endParaRPr>
        </a:p>
        <a:p>
          <a:r>
            <a:rPr lang="en-US" sz="1100">
              <a:solidFill>
                <a:schemeClr val="dk1"/>
              </a:solidFill>
              <a:latin typeface="+mn-lt"/>
              <a:ea typeface="+mn-ea"/>
              <a:cs typeface="+mn-cs"/>
            </a:rPr>
            <a:t> </a:t>
          </a:r>
          <a:endParaRPr lang="en-US"/>
        </a:p>
        <a:p>
          <a:r>
            <a:rPr lang="en-US" sz="1100" b="1">
              <a:solidFill>
                <a:schemeClr val="dk1"/>
              </a:solidFill>
              <a:latin typeface="+mn-lt"/>
              <a:ea typeface="+mn-ea"/>
              <a:cs typeface="+mn-cs"/>
            </a:rPr>
            <a:t>Tailwater Conditions</a:t>
          </a:r>
          <a:endParaRPr lang="en-US" sz="1100">
            <a:solidFill>
              <a:schemeClr val="dk1"/>
            </a:solidFill>
            <a:latin typeface="+mn-lt"/>
            <a:ea typeface="+mn-ea"/>
            <a:cs typeface="+mn-cs"/>
          </a:endParaRPr>
        </a:p>
        <a:p>
          <a:r>
            <a:rPr lang="en-US" sz="1100">
              <a:solidFill>
                <a:schemeClr val="dk1"/>
              </a:solidFill>
              <a:latin typeface="+mn-lt"/>
              <a:ea typeface="+mn-ea"/>
              <a:cs typeface="+mn-cs"/>
            </a:rPr>
            <a:t> Submergence of the weir can have a significant impact on the structure’s hydraulic capacity. Therefore an </a:t>
          </a:r>
          <a:r>
            <a:rPr lang="en-US" sz="1100" u="sng">
              <a:solidFill>
                <a:schemeClr val="dk1"/>
              </a:solidFill>
              <a:latin typeface="+mn-lt"/>
              <a:ea typeface="+mn-ea"/>
              <a:cs typeface="+mn-cs"/>
            </a:rPr>
            <a:t>accurate estimate of tailwater depth for the design discharge is essential</a:t>
          </a:r>
          <a:r>
            <a:rPr lang="en-US" sz="1100">
              <a:solidFill>
                <a:schemeClr val="dk1"/>
              </a:solidFill>
              <a:latin typeface="+mn-lt"/>
              <a:ea typeface="+mn-ea"/>
              <a:cs typeface="+mn-cs"/>
            </a:rPr>
            <a:t>.  Evaluate the downstream channel capacity (e.g. Manning’s equation or HEC-RAS model), and check for culvert restrictions or other downstream control.  For submerged weir conditions, a rating curve for the downstream channel will be most useful.</a:t>
          </a:r>
        </a:p>
        <a:p>
          <a:r>
            <a:rPr lang="en-US" sz="1100">
              <a:solidFill>
                <a:schemeClr val="dk1"/>
              </a:solidFill>
              <a:latin typeface="+mn-lt"/>
              <a:ea typeface="+mn-ea"/>
              <a:cs typeface="+mn-cs"/>
            </a:rPr>
            <a:t> </a:t>
          </a:r>
        </a:p>
        <a:p>
          <a:r>
            <a:rPr lang="en-US" sz="1100" b="1">
              <a:solidFill>
                <a:schemeClr val="dk1"/>
              </a:solidFill>
              <a:latin typeface="+mn-lt"/>
              <a:ea typeface="+mn-ea"/>
              <a:cs typeface="+mn-cs"/>
            </a:rPr>
            <a:t>Design Procedure</a:t>
          </a:r>
          <a:endParaRPr lang="en-US" sz="1100">
            <a:solidFill>
              <a:schemeClr val="dk1"/>
            </a:solidFill>
            <a:latin typeface="+mn-lt"/>
            <a:ea typeface="+mn-ea"/>
            <a:cs typeface="+mn-cs"/>
          </a:endParaRPr>
        </a:p>
        <a:p>
          <a:r>
            <a:rPr lang="en-US" sz="1100">
              <a:solidFill>
                <a:schemeClr val="dk1"/>
              </a:solidFill>
              <a:latin typeface="+mn-lt"/>
              <a:ea typeface="+mn-ea"/>
              <a:cs typeface="+mn-cs"/>
            </a:rPr>
            <a:t> Determine required design discharge. </a:t>
          </a:r>
        </a:p>
        <a:p>
          <a:pPr lvl="0"/>
          <a:r>
            <a:rPr lang="en-US" sz="1100">
              <a:solidFill>
                <a:schemeClr val="dk1"/>
              </a:solidFill>
              <a:latin typeface="+mn-lt"/>
              <a:ea typeface="+mn-ea"/>
              <a:cs typeface="+mn-cs"/>
            </a:rPr>
            <a:t>Evaluate stability of downstream channel grade in order to set structure toe elevation.</a:t>
          </a:r>
        </a:p>
        <a:p>
          <a:pPr lvl="0"/>
          <a:r>
            <a:rPr lang="en-US" sz="1100">
              <a:solidFill>
                <a:schemeClr val="dk1"/>
              </a:solidFill>
              <a:latin typeface="+mn-lt"/>
              <a:ea typeface="+mn-ea"/>
              <a:cs typeface="+mn-cs"/>
            </a:rPr>
            <a:t>Determine required drop D. </a:t>
          </a:r>
        </a:p>
        <a:p>
          <a:pPr lvl="0"/>
          <a:r>
            <a:rPr lang="en-US" sz="1100">
              <a:solidFill>
                <a:schemeClr val="dk1"/>
              </a:solidFill>
              <a:latin typeface="+mn-lt"/>
              <a:ea typeface="+mn-ea"/>
              <a:cs typeface="+mn-cs"/>
            </a:rPr>
            <a:t>Determine tailwater conditions at design discharge.  If maximum tailwater elevation is lower than the weir crest elevation, the structure is considered to have a free outlet. If tailwater elevation is above weir crest, the outlet is considered submerged.</a:t>
          </a:r>
        </a:p>
        <a:p>
          <a:r>
            <a:rPr lang="en-US" sz="1100">
              <a:solidFill>
                <a:schemeClr val="dk1"/>
              </a:solidFill>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latin typeface="+mn-lt"/>
              <a:ea typeface="+mn-ea"/>
              <a:cs typeface="+mn-cs"/>
            </a:rPr>
            <a:t>Choose a structure size (W, L, H and W</a:t>
          </a:r>
          <a:r>
            <a:rPr lang="en-US" sz="1100" baseline="-25000">
              <a:solidFill>
                <a:schemeClr val="dk1"/>
              </a:solidFill>
              <a:latin typeface="+mn-lt"/>
              <a:ea typeface="+mn-ea"/>
              <a:cs typeface="+mn-cs"/>
            </a:rPr>
            <a:t>a</a:t>
          </a:r>
          <a:r>
            <a:rPr lang="en-US" sz="1100">
              <a:solidFill>
                <a:schemeClr val="dk1"/>
              </a:solidFill>
              <a:latin typeface="+mn-lt"/>
              <a:ea typeface="+mn-ea"/>
              <a:cs typeface="+mn-cs"/>
            </a:rPr>
            <a:t>) – table values listed in EFH Ch. 6, Amendment IA56</a:t>
          </a:r>
          <a:r>
            <a:rPr lang="en-US" sz="1100" baseline="0">
              <a:solidFill>
                <a:schemeClr val="dk1"/>
              </a:solidFill>
              <a:latin typeface="+mn-lt"/>
              <a:ea typeface="+mn-ea"/>
              <a:cs typeface="+mn-cs"/>
            </a:rPr>
            <a:t> (Feb</a:t>
          </a:r>
          <a:r>
            <a:rPr lang="en-US" sz="1100">
              <a:solidFill>
                <a:schemeClr val="dk1"/>
              </a:solidFill>
              <a:latin typeface="+mn-lt"/>
              <a:ea typeface="+mn-ea"/>
              <a:cs typeface="+mn-cs"/>
            </a:rPr>
            <a:t>.</a:t>
          </a:r>
          <a:r>
            <a:rPr lang="en-US" sz="1100" baseline="0">
              <a:solidFill>
                <a:schemeClr val="dk1"/>
              </a:solidFill>
              <a:latin typeface="+mn-lt"/>
              <a:ea typeface="+mn-ea"/>
              <a:cs typeface="+mn-cs"/>
            </a:rPr>
            <a:t> 2012) may be used as a starting point.</a:t>
          </a:r>
          <a:r>
            <a:rPr lang="en-US" sz="1100">
              <a:solidFill>
                <a:schemeClr val="dk1"/>
              </a:solidFill>
              <a:latin typeface="+mn-lt"/>
              <a:ea typeface="+mn-ea"/>
              <a:cs typeface="+mn-cs"/>
            </a:rPr>
            <a:t>  If ratio Wc/L &lt;</a:t>
          </a:r>
          <a:r>
            <a:rPr lang="en-US" sz="1100" baseline="0">
              <a:solidFill>
                <a:schemeClr val="dk1"/>
              </a:solidFill>
              <a:latin typeface="+mn-lt"/>
              <a:ea typeface="+mn-ea"/>
              <a:cs typeface="+mn-cs"/>
            </a:rPr>
            <a:t> 1.3, consider widening the upstream channel by selecting an "added width" value, W</a:t>
          </a:r>
          <a:r>
            <a:rPr lang="en-US" sz="1100" baseline="-25000">
              <a:solidFill>
                <a:schemeClr val="dk1"/>
              </a:solidFill>
              <a:latin typeface="+mn-lt"/>
              <a:ea typeface="+mn-ea"/>
              <a:cs typeface="+mn-cs"/>
            </a:rPr>
            <a:t>a</a:t>
          </a:r>
          <a:r>
            <a:rPr lang="en-US" sz="1100" baseline="0">
              <a:solidFill>
                <a:schemeClr val="dk1"/>
              </a:solidFill>
              <a:latin typeface="+mn-lt"/>
              <a:ea typeface="+mn-ea"/>
              <a:cs typeface="+mn-cs"/>
            </a:rPr>
            <a:t>.  See page 2 of this tab for additional information.</a:t>
          </a:r>
          <a:endParaRPr lang="en-US"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latin typeface="+mn-lt"/>
            <a:ea typeface="+mn-ea"/>
            <a:cs typeface="+mn-cs"/>
          </a:endParaRPr>
        </a:p>
        <a:p>
          <a:endParaRPr lang="en-US" sz="1100"/>
        </a:p>
      </xdr:txBody>
    </xdr:sp>
    <xdr:clientData/>
  </xdr:twoCellAnchor>
  <xdr:twoCellAnchor>
    <xdr:from>
      <xdr:col>0</xdr:col>
      <xdr:colOff>95251</xdr:colOff>
      <xdr:row>48</xdr:row>
      <xdr:rowOff>123825</xdr:rowOff>
    </xdr:from>
    <xdr:to>
      <xdr:col>9</xdr:col>
      <xdr:colOff>565151</xdr:colOff>
      <xdr:row>94</xdr:row>
      <xdr:rowOff>85725</xdr:rowOff>
    </xdr:to>
    <xdr:sp macro="" textlink="">
      <xdr:nvSpPr>
        <xdr:cNvPr id="3" name="TextBox 2"/>
        <xdr:cNvSpPr txBox="1"/>
      </xdr:nvSpPr>
      <xdr:spPr>
        <a:xfrm>
          <a:off x="95251" y="9267825"/>
          <a:ext cx="6251575" cy="872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Both free and submerged outlet designs  require use of values from charts from the reference document (Fig. 5, 7, and 9). The curves from these figures have been tabulated into Lookup Tables.  Figure 5 defines</a:t>
          </a:r>
          <a:r>
            <a:rPr lang="en-US" sz="1100" baseline="0">
              <a:solidFill>
                <a:schemeClr val="dk1"/>
              </a:solidFill>
              <a:latin typeface="+mn-lt"/>
              <a:ea typeface="+mn-ea"/>
              <a:cs typeface="+mn-cs"/>
            </a:rPr>
            <a:t> flow under weir control; Figures 7 and 9 define flow under headwall control. For the range of sizes in use by NRCS, weir control usually governs .</a:t>
          </a:r>
          <a:endParaRPr lang="en-US" sz="1100">
            <a:solidFill>
              <a:schemeClr val="dk1"/>
            </a:solidFill>
            <a:latin typeface="+mn-lt"/>
            <a:ea typeface="+mn-ea"/>
            <a:cs typeface="+mn-cs"/>
          </a:endParaRPr>
        </a:p>
        <a:p>
          <a:endParaRPr lang="en-US" sz="1100">
            <a:solidFill>
              <a:schemeClr val="dk1"/>
            </a:solidFill>
            <a:latin typeface="+mn-lt"/>
            <a:ea typeface="+mn-ea"/>
            <a:cs typeface="+mn-cs"/>
          </a:endParaRPr>
        </a:p>
        <a:p>
          <a:pPr eaLnBrk="1" fontAlgn="auto" latinLnBrk="0" hangingPunct="1"/>
          <a:r>
            <a:rPr lang="en-US" sz="1100">
              <a:solidFill>
                <a:schemeClr val="dk1"/>
              </a:solidFill>
              <a:latin typeface="+mn-lt"/>
              <a:ea typeface="+mn-ea"/>
              <a:cs typeface="+mn-cs"/>
            </a:rPr>
            <a:t>The spreadsheet design method is an iterative process. Designer selects a trial structure size, determines its hydraulic capacity, and modifies the structure size until the hydraulic capacity meets design discharge requirements.</a:t>
          </a:r>
          <a:endParaRPr lang="en-US"/>
        </a:p>
        <a:p>
          <a:pPr eaLnBrk="1" fontAlgn="auto" latinLnBrk="0" hangingPunct="1"/>
          <a:endParaRPr lang="en-US"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latin typeface="+mn-lt"/>
              <a:ea typeface="+mn-ea"/>
              <a:cs typeface="+mn-cs"/>
            </a:rPr>
            <a:t>Standard  corrugated aluminum structure sizes available </a:t>
          </a:r>
          <a:r>
            <a:rPr lang="en-US" sz="1100" baseline="0">
              <a:solidFill>
                <a:schemeClr val="dk1"/>
              </a:solidFill>
              <a:latin typeface="+mn-lt"/>
              <a:ea typeface="+mn-ea"/>
              <a:cs typeface="+mn-cs"/>
            </a:rPr>
            <a:t>are listed on the Structure Sizes tab.  Variables are defined in a sketch on the same tab. </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latin typeface="+mn-lt"/>
              <a:ea typeface="+mn-ea"/>
              <a:cs typeface="+mn-cs"/>
            </a:rPr>
            <a:t>The upstream channel is defined by 2 variables, W</a:t>
          </a:r>
          <a:r>
            <a:rPr lang="en-US" sz="1100" baseline="-25000">
              <a:solidFill>
                <a:schemeClr val="dk1"/>
              </a:solidFill>
              <a:latin typeface="+mn-lt"/>
              <a:ea typeface="+mn-ea"/>
              <a:cs typeface="+mn-cs"/>
            </a:rPr>
            <a:t>u</a:t>
          </a:r>
          <a:r>
            <a:rPr lang="en-US" sz="1100" baseline="0">
              <a:solidFill>
                <a:schemeClr val="dk1"/>
              </a:solidFill>
              <a:latin typeface="+mn-lt"/>
              <a:ea typeface="+mn-ea"/>
              <a:cs typeface="+mn-cs"/>
            </a:rPr>
            <a:t> and W</a:t>
          </a:r>
          <a:r>
            <a:rPr lang="en-US" sz="1100" baseline="-25000">
              <a:solidFill>
                <a:schemeClr val="dk1"/>
              </a:solidFill>
              <a:latin typeface="+mn-lt"/>
              <a:ea typeface="+mn-ea"/>
              <a:cs typeface="+mn-cs"/>
            </a:rPr>
            <a:t>c</a:t>
          </a:r>
          <a:r>
            <a:rPr lang="en-US" sz="1100" baseline="0">
              <a:solidFill>
                <a:schemeClr val="dk1"/>
              </a:solidFill>
              <a:latin typeface="+mn-lt"/>
              <a:ea typeface="+mn-ea"/>
              <a:cs typeface="+mn-cs"/>
            </a:rPr>
            <a:t> . W</a:t>
          </a:r>
          <a:r>
            <a:rPr lang="en-US" sz="1100" baseline="-25000">
              <a:solidFill>
                <a:schemeClr val="dk1"/>
              </a:solidFill>
              <a:latin typeface="+mn-lt"/>
              <a:ea typeface="+mn-ea"/>
              <a:cs typeface="+mn-cs"/>
            </a:rPr>
            <a:t>u</a:t>
          </a:r>
          <a:r>
            <a:rPr lang="en-US" sz="1100" baseline="0">
              <a:solidFill>
                <a:schemeClr val="dk1"/>
              </a:solidFill>
              <a:latin typeface="+mn-lt"/>
              <a:ea typeface="+mn-ea"/>
              <a:cs typeface="+mn-cs"/>
            </a:rPr>
            <a:t> is the bottom width; W</a:t>
          </a:r>
          <a:r>
            <a:rPr lang="en-US" sz="1100" baseline="-25000">
              <a:solidFill>
                <a:schemeClr val="dk1"/>
              </a:solidFill>
              <a:latin typeface="+mn-lt"/>
              <a:ea typeface="+mn-ea"/>
              <a:cs typeface="+mn-cs"/>
            </a:rPr>
            <a:t>c</a:t>
          </a:r>
          <a:r>
            <a:rPr lang="en-US" sz="1100" baseline="0">
              <a:solidFill>
                <a:schemeClr val="dk1"/>
              </a:solidFill>
              <a:latin typeface="+mn-lt"/>
              <a:ea typeface="+mn-ea"/>
              <a:cs typeface="+mn-cs"/>
            </a:rPr>
            <a:t> is the average width of flow in the trapezoidal approach  channel.   In the model study, the approach channel was rectangular, so W</a:t>
          </a:r>
          <a:r>
            <a:rPr lang="en-US" sz="1100" baseline="-25000">
              <a:solidFill>
                <a:schemeClr val="dk1"/>
              </a:solidFill>
              <a:latin typeface="+mn-lt"/>
              <a:ea typeface="+mn-ea"/>
              <a:cs typeface="+mn-cs"/>
            </a:rPr>
            <a:t>c</a:t>
          </a:r>
          <a:r>
            <a:rPr lang="en-US" sz="1100" baseline="0">
              <a:solidFill>
                <a:schemeClr val="dk1"/>
              </a:solidFill>
              <a:latin typeface="+mn-lt"/>
              <a:ea typeface="+mn-ea"/>
              <a:cs typeface="+mn-cs"/>
            </a:rPr>
            <a:t> represented both the bottom width and average flow width.  The spreadsheet  computes the average flow width at its maximum capacity, flow depth H minus required freeboard. </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latin typeface="+mn-lt"/>
              <a:ea typeface="+mn-ea"/>
              <a:cs typeface="+mn-cs"/>
            </a:rPr>
            <a:t>The minimum value of  upstream channel bottom width W</a:t>
          </a:r>
          <a:r>
            <a:rPr lang="en-US" sz="1100" baseline="-25000">
              <a:solidFill>
                <a:schemeClr val="dk1"/>
              </a:solidFill>
              <a:latin typeface="+mn-lt"/>
              <a:ea typeface="+mn-ea"/>
              <a:cs typeface="+mn-cs"/>
            </a:rPr>
            <a:t>u</a:t>
          </a:r>
          <a:r>
            <a:rPr lang="en-US" sz="1100">
              <a:solidFill>
                <a:schemeClr val="dk1"/>
              </a:solidFill>
              <a:latin typeface="+mn-lt"/>
              <a:ea typeface="+mn-ea"/>
              <a:cs typeface="+mn-cs"/>
            </a:rPr>
            <a:t> = W</a:t>
          </a:r>
          <a:r>
            <a:rPr lang="en-US" sz="1100" baseline="0">
              <a:solidFill>
                <a:schemeClr val="dk1"/>
              </a:solidFill>
              <a:latin typeface="+mn-lt"/>
              <a:ea typeface="+mn-ea"/>
              <a:cs typeface="+mn-cs"/>
            </a:rPr>
            <a:t> + 4D. For shorter structures, sometimes this approach width is not adequate to allow flow to efficiently reach the sides of the weir. The upstream channel width can be increased using the variable, W</a:t>
          </a:r>
          <a:r>
            <a:rPr lang="en-US" sz="1100" baseline="-25000">
              <a:solidFill>
                <a:schemeClr val="dk1"/>
              </a:solidFill>
              <a:latin typeface="+mn-lt"/>
              <a:ea typeface="+mn-ea"/>
              <a:cs typeface="+mn-cs"/>
            </a:rPr>
            <a:t>a</a:t>
          </a:r>
          <a:r>
            <a:rPr lang="en-US" sz="1100" baseline="0">
              <a:solidFill>
                <a:schemeClr val="dk1"/>
              </a:solidFill>
              <a:latin typeface="+mn-lt"/>
              <a:ea typeface="+mn-ea"/>
              <a:cs typeface="+mn-cs"/>
            </a:rPr>
            <a:t> (additional U/S channel width), where W</a:t>
          </a:r>
          <a:r>
            <a:rPr lang="en-US" sz="1100" baseline="-25000">
              <a:solidFill>
                <a:schemeClr val="dk1"/>
              </a:solidFill>
              <a:latin typeface="+mn-lt"/>
              <a:ea typeface="+mn-ea"/>
              <a:cs typeface="+mn-cs"/>
            </a:rPr>
            <a:t>u</a:t>
          </a:r>
          <a:r>
            <a:rPr lang="en-US" sz="1100" baseline="0">
              <a:solidFill>
                <a:schemeClr val="dk1"/>
              </a:solidFill>
              <a:latin typeface="+mn-lt"/>
              <a:ea typeface="+mn-ea"/>
              <a:cs typeface="+mn-cs"/>
            </a:rPr>
            <a:t> = W + 4D + 2W</a:t>
          </a:r>
          <a:r>
            <a:rPr lang="en-US" sz="1100" baseline="-25000">
              <a:solidFill>
                <a:schemeClr val="dk1"/>
              </a:solidFill>
              <a:latin typeface="+mn-lt"/>
              <a:ea typeface="+mn-ea"/>
              <a:cs typeface="+mn-cs"/>
            </a:rPr>
            <a:t>a</a:t>
          </a:r>
          <a:r>
            <a:rPr lang="en-US" sz="1100" baseline="0">
              <a:solidFill>
                <a:schemeClr val="dk1"/>
              </a:solidFill>
              <a:latin typeface="+mn-lt"/>
              <a:ea typeface="+mn-ea"/>
              <a:cs typeface="+mn-cs"/>
            </a:rPr>
            <a:t>. The variable W</a:t>
          </a:r>
          <a:r>
            <a:rPr lang="en-US" sz="1100" baseline="-25000">
              <a:solidFill>
                <a:schemeClr val="dk1"/>
              </a:solidFill>
              <a:latin typeface="+mn-lt"/>
              <a:ea typeface="+mn-ea"/>
              <a:cs typeface="+mn-cs"/>
            </a:rPr>
            <a:t>a</a:t>
          </a:r>
          <a:r>
            <a:rPr lang="en-US" sz="1100" baseline="0">
              <a:solidFill>
                <a:schemeClr val="dk1"/>
              </a:solidFill>
              <a:latin typeface="+mn-lt"/>
              <a:ea typeface="+mn-ea"/>
              <a:cs typeface="+mn-cs"/>
            </a:rPr>
            <a:t> is paired on the standard drawings (IA-1409 &amp; 1410) with specific headwall lengths.</a:t>
          </a:r>
          <a:endParaRPr lang="en-US" sz="1100">
            <a:solidFill>
              <a:schemeClr val="dk1"/>
            </a:solidFill>
            <a:latin typeface="+mn-lt"/>
            <a:ea typeface="+mn-ea"/>
            <a:cs typeface="+mn-cs"/>
          </a:endParaRPr>
        </a:p>
        <a:p>
          <a:r>
            <a:rPr lang="en-US" sz="1100">
              <a:solidFill>
                <a:schemeClr val="dk1"/>
              </a:solidFill>
              <a:latin typeface="+mn-lt"/>
              <a:ea typeface="+mn-ea"/>
              <a:cs typeface="+mn-cs"/>
            </a:rPr>
            <a:t> </a:t>
          </a:r>
        </a:p>
        <a:p>
          <a:pPr lvl="0"/>
          <a:r>
            <a:rPr lang="en-US" sz="1100">
              <a:solidFill>
                <a:schemeClr val="dk1"/>
              </a:solidFill>
              <a:latin typeface="+mn-lt"/>
              <a:ea typeface="+mn-ea"/>
              <a:cs typeface="+mn-cs"/>
            </a:rPr>
            <a:t>The spreadsheet </a:t>
          </a:r>
          <a:r>
            <a:rPr lang="en-US" sz="1100" baseline="0">
              <a:solidFill>
                <a:schemeClr val="dk1"/>
              </a:solidFill>
              <a:latin typeface="+mn-lt"/>
              <a:ea typeface="+mn-ea"/>
              <a:cs typeface="+mn-cs"/>
            </a:rPr>
            <a:t> automatically determines C</a:t>
          </a:r>
          <a:r>
            <a:rPr lang="en-US" sz="1100" baseline="-25000">
              <a:solidFill>
                <a:schemeClr val="dk1"/>
              </a:solidFill>
              <a:latin typeface="+mn-lt"/>
              <a:ea typeface="+mn-ea"/>
              <a:cs typeface="+mn-cs"/>
            </a:rPr>
            <a:t>1</a:t>
          </a:r>
          <a:r>
            <a:rPr lang="en-US" sz="1100" baseline="0">
              <a:solidFill>
                <a:schemeClr val="dk1"/>
              </a:solidFill>
              <a:latin typeface="+mn-lt"/>
              <a:ea typeface="+mn-ea"/>
              <a:cs typeface="+mn-cs"/>
            </a:rPr>
            <a:t> , C</a:t>
          </a:r>
          <a:r>
            <a:rPr lang="en-US" sz="1100" baseline="-25000">
              <a:solidFill>
                <a:schemeClr val="dk1"/>
              </a:solidFill>
              <a:latin typeface="+mn-lt"/>
              <a:ea typeface="+mn-ea"/>
              <a:cs typeface="+mn-cs"/>
            </a:rPr>
            <a:t>2</a:t>
          </a:r>
          <a:r>
            <a:rPr lang="en-US" sz="1100" baseline="0">
              <a:solidFill>
                <a:schemeClr val="dk1"/>
              </a:solidFill>
              <a:latin typeface="+mn-lt"/>
              <a:ea typeface="+mn-ea"/>
              <a:cs typeface="+mn-cs"/>
            </a:rPr>
            <a:t> and H</a:t>
          </a:r>
          <a:r>
            <a:rPr lang="en-US" sz="1100" baseline="-25000">
              <a:solidFill>
                <a:schemeClr val="dk1"/>
              </a:solidFill>
              <a:latin typeface="+mn-lt"/>
              <a:ea typeface="+mn-ea"/>
              <a:cs typeface="+mn-cs"/>
            </a:rPr>
            <a:t>02</a:t>
          </a:r>
          <a:r>
            <a:rPr lang="en-US" sz="1100" baseline="0">
              <a:solidFill>
                <a:schemeClr val="dk1"/>
              </a:solidFill>
              <a:latin typeface="+mn-lt"/>
              <a:ea typeface="+mn-ea"/>
              <a:cs typeface="+mn-cs"/>
            </a:rPr>
            <a:t> from Figures 5, 7 &amp; 9 based upon the structure dimensions entered.</a:t>
          </a:r>
        </a:p>
        <a:p>
          <a:pPr lvl="0"/>
          <a:endParaRPr lang="en-US" sz="1100">
            <a:solidFill>
              <a:schemeClr val="dk1"/>
            </a:solidFill>
            <a:latin typeface="+mn-lt"/>
            <a:ea typeface="+mn-ea"/>
            <a:cs typeface="+mn-cs"/>
          </a:endParaRPr>
        </a:p>
        <a:p>
          <a:r>
            <a:rPr lang="en-US" sz="1100">
              <a:solidFill>
                <a:schemeClr val="dk1"/>
              </a:solidFill>
              <a:latin typeface="+mn-lt"/>
              <a:ea typeface="+mn-ea"/>
              <a:cs typeface="+mn-cs"/>
            </a:rPr>
            <a:t>Enter  desired freeboard (state requirement or user selection) if needed. The spreadsheet computes a minimum freeboard based on model study data,</a:t>
          </a:r>
          <a:r>
            <a:rPr lang="en-US" sz="1100" baseline="0">
              <a:solidFill>
                <a:schemeClr val="dk1"/>
              </a:solidFill>
              <a:latin typeface="+mn-lt"/>
              <a:ea typeface="+mn-ea"/>
              <a:cs typeface="+mn-cs"/>
            </a:rPr>
            <a:t> and uses the greater of that minimum or the user input.</a:t>
          </a:r>
          <a:endParaRPr lang="en-US" sz="1100">
            <a:solidFill>
              <a:schemeClr val="dk1"/>
            </a:solidFill>
            <a:latin typeface="+mn-lt"/>
            <a:ea typeface="+mn-ea"/>
            <a:cs typeface="+mn-cs"/>
          </a:endParaRPr>
        </a:p>
        <a:p>
          <a:pPr lvl="0"/>
          <a:r>
            <a:rPr lang="en-US" sz="1100">
              <a:solidFill>
                <a:schemeClr val="dk1"/>
              </a:solidFill>
              <a:latin typeface="+mn-lt"/>
              <a:ea typeface="+mn-ea"/>
              <a:cs typeface="+mn-cs"/>
            </a:rPr>
            <a:t>Compare computed flow capacity to required flow capacity and modify structure size as needed.</a:t>
          </a:r>
        </a:p>
        <a:p>
          <a:r>
            <a:rPr lang="en-US" sz="1100">
              <a:solidFill>
                <a:schemeClr val="dk1"/>
              </a:solidFill>
              <a:latin typeface="+mn-lt"/>
              <a:ea typeface="+mn-ea"/>
              <a:cs typeface="+mn-cs"/>
            </a:rPr>
            <a:t> </a:t>
          </a:r>
        </a:p>
        <a:p>
          <a:r>
            <a:rPr lang="en-US" sz="1100" b="1">
              <a:solidFill>
                <a:schemeClr val="dk1"/>
              </a:solidFill>
              <a:latin typeface="+mn-lt"/>
              <a:ea typeface="+mn-ea"/>
              <a:cs typeface="+mn-cs"/>
            </a:rPr>
            <a:t>Submerged Outlet Design – maximum tailwater higher than weir crest elevation</a:t>
          </a:r>
        </a:p>
        <a:p>
          <a:pPr marL="0" marR="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latin typeface="+mn-lt"/>
              <a:ea typeface="+mn-ea"/>
              <a:cs typeface="+mn-cs"/>
            </a:rPr>
            <a:t>Submerged outlet design works differently from  free outlet design, in that a flow capacity for a given head H cannot be computed directly. Instead, a range of flows are computed based on a free outlet (t</a:t>
          </a:r>
          <a:r>
            <a:rPr lang="en-US" sz="1100">
              <a:solidFill>
                <a:schemeClr val="dk1"/>
              </a:solidFill>
              <a:latin typeface="+mn-lt"/>
              <a:ea typeface="+mn-ea"/>
              <a:cs typeface="+mn-cs"/>
            </a:rPr>
            <a:t>he spreadsheet computes</a:t>
          </a:r>
          <a:r>
            <a:rPr lang="en-US" sz="1100" baseline="0">
              <a:solidFill>
                <a:schemeClr val="dk1"/>
              </a:solidFill>
              <a:latin typeface="+mn-lt"/>
              <a:ea typeface="+mn-ea"/>
              <a:cs typeface="+mn-cs"/>
            </a:rPr>
            <a:t> intermediate flows for varying depths of head, in increments of H/5).</a:t>
          </a:r>
          <a:r>
            <a:rPr lang="en-US" sz="1100" b="0">
              <a:solidFill>
                <a:schemeClr val="dk1"/>
              </a:solidFill>
              <a:latin typeface="+mn-lt"/>
              <a:ea typeface="+mn-ea"/>
              <a:cs typeface="+mn-cs"/>
            </a:rPr>
            <a:t> The corresponding </a:t>
          </a:r>
          <a:r>
            <a:rPr lang="en-US" sz="1100" b="0" i="0">
              <a:solidFill>
                <a:schemeClr val="dk1"/>
              </a:solidFill>
              <a:latin typeface="+mn-lt"/>
              <a:ea typeface="+mn-ea"/>
              <a:cs typeface="+mn-cs"/>
            </a:rPr>
            <a:t>increase </a:t>
          </a:r>
          <a:r>
            <a:rPr lang="en-US" sz="1100" b="0">
              <a:solidFill>
                <a:schemeClr val="dk1"/>
              </a:solidFill>
              <a:latin typeface="+mn-lt"/>
              <a:ea typeface="+mn-ea"/>
              <a:cs typeface="+mn-cs"/>
            </a:rPr>
            <a:t>in head </a:t>
          </a:r>
          <a:r>
            <a:rPr kumimoji="0" lang="en-US" sz="1100" b="0" i="0" u="none" strike="noStrike" kern="0" cap="none" spc="0" normalizeH="0" baseline="0" noProof="0">
              <a:ln>
                <a:noFill/>
              </a:ln>
              <a:solidFill>
                <a:prstClr val="black"/>
              </a:solidFill>
              <a:effectLst/>
              <a:uLnTx/>
              <a:uFillTx/>
              <a:latin typeface="+mn-lt"/>
              <a:ea typeface="+mn-ea"/>
              <a:cs typeface="+mn-cs"/>
            </a:rPr>
            <a:t>(</a:t>
          </a:r>
          <a:r>
            <a:rPr kumimoji="0" lang="en-US" sz="1100" b="0" i="0" u="none" strike="noStrike" kern="0" cap="none" spc="0" normalizeH="0" baseline="0" noProof="0">
              <a:ln>
                <a:noFill/>
              </a:ln>
              <a:solidFill>
                <a:prstClr val="black"/>
              </a:solidFill>
              <a:effectLst/>
              <a:uLnTx/>
              <a:uFillTx/>
              <a:latin typeface="Symbol" pitchFamily="18" charset="2"/>
              <a:ea typeface="+mn-ea"/>
              <a:cs typeface="+mn-cs"/>
            </a:rPr>
            <a:t>D</a:t>
          </a:r>
          <a:r>
            <a:rPr kumimoji="0" lang="en-US" sz="1100" b="0" i="0" u="none" strike="noStrike" kern="0" cap="none" spc="0" normalizeH="0" baseline="0" noProof="0">
              <a:ln>
                <a:noFill/>
              </a:ln>
              <a:solidFill>
                <a:prstClr val="black"/>
              </a:solidFill>
              <a:effectLst/>
              <a:uLnTx/>
              <a:uFillTx/>
              <a:latin typeface="+mn-lt"/>
              <a:ea typeface="+mn-ea"/>
              <a:cs typeface="+mn-cs"/>
            </a:rPr>
            <a:t>H) </a:t>
          </a:r>
          <a:r>
            <a:rPr lang="en-US" sz="1100" b="0">
              <a:solidFill>
                <a:schemeClr val="dk1"/>
              </a:solidFill>
              <a:latin typeface="+mn-lt"/>
              <a:ea typeface="+mn-ea"/>
              <a:cs typeface="+mn-cs"/>
            </a:rPr>
            <a:t> caused by submerged conditions </a:t>
          </a:r>
          <a:r>
            <a:rPr lang="en-US" sz="1100" b="0" baseline="0">
              <a:solidFill>
                <a:schemeClr val="dk1"/>
              </a:solidFill>
              <a:latin typeface="+mn-lt"/>
              <a:ea typeface="+mn-ea"/>
              <a:cs typeface="+mn-cs"/>
            </a:rPr>
            <a:t>(H</a:t>
          </a:r>
          <a:r>
            <a:rPr lang="en-US" sz="1100" b="0" baseline="-25000">
              <a:solidFill>
                <a:schemeClr val="dk1"/>
              </a:solidFill>
              <a:latin typeface="+mn-lt"/>
              <a:ea typeface="+mn-ea"/>
              <a:cs typeface="+mn-cs"/>
            </a:rPr>
            <a:t>t</a:t>
          </a:r>
          <a:r>
            <a:rPr lang="en-US" sz="1100" b="0" baseline="0">
              <a:solidFill>
                <a:schemeClr val="dk1"/>
              </a:solidFill>
              <a:latin typeface="+mn-lt"/>
              <a:ea typeface="+mn-ea"/>
              <a:cs typeface="+mn-cs"/>
            </a:rPr>
            <a:t>)</a:t>
          </a:r>
          <a:r>
            <a:rPr lang="en-US" sz="1100" b="0">
              <a:solidFill>
                <a:schemeClr val="dk1"/>
              </a:solidFill>
              <a:latin typeface="+mn-lt"/>
              <a:ea typeface="+mn-ea"/>
              <a:cs typeface="+mn-cs"/>
            </a:rPr>
            <a:t> is computed for each flow increment.</a:t>
          </a:r>
          <a:r>
            <a:rPr lang="en-US" sz="1100" b="0" baseline="0">
              <a:solidFill>
                <a:schemeClr val="dk1"/>
              </a:solidFill>
              <a:latin typeface="+mn-lt"/>
              <a:ea typeface="+mn-ea"/>
              <a:cs typeface="+mn-cs"/>
            </a:rPr>
            <a:t> </a:t>
          </a:r>
          <a:r>
            <a:rPr lang="en-US" sz="1100" b="0">
              <a:solidFill>
                <a:schemeClr val="dk1"/>
              </a:solidFill>
              <a:latin typeface="+mn-lt"/>
              <a:ea typeface="+mn-ea"/>
              <a:cs typeface="+mn-cs"/>
            </a:rPr>
            <a:t> Freeboard is added and the required H corresponding to the design Q is interpolated from</a:t>
          </a:r>
          <a:r>
            <a:rPr lang="en-US" sz="1100" b="0" baseline="0">
              <a:solidFill>
                <a:schemeClr val="dk1"/>
              </a:solidFill>
              <a:latin typeface="+mn-lt"/>
              <a:ea typeface="+mn-ea"/>
              <a:cs typeface="+mn-cs"/>
            </a:rPr>
            <a:t> the data points</a:t>
          </a:r>
          <a:r>
            <a:rPr lang="en-US" sz="1100" b="0">
              <a:solidFill>
                <a:schemeClr val="dk1"/>
              </a:solidFill>
              <a:latin typeface="+mn-lt"/>
              <a:ea typeface="+mn-ea"/>
              <a:cs typeface="+mn-cs"/>
            </a:rPr>
            <a:t>.</a:t>
          </a:r>
        </a:p>
        <a:p>
          <a:pPr marL="0" marR="0" indent="0" defTabSz="914400" eaLnBrk="1" fontAlgn="auto" latinLnBrk="0" hangingPunct="1">
            <a:lnSpc>
              <a:spcPct val="100000"/>
            </a:lnSpc>
            <a:spcBef>
              <a:spcPts val="0"/>
            </a:spcBef>
            <a:spcAft>
              <a:spcPts val="0"/>
            </a:spcAft>
            <a:buClrTx/>
            <a:buSzTx/>
            <a:buFontTx/>
            <a:buNone/>
            <a:tabLst/>
            <a:defRPr/>
          </a:pPr>
          <a:endParaRPr lang="en-US" sz="1100" b="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latin typeface="+mn-lt"/>
              <a:ea typeface="+mn-ea"/>
              <a:cs typeface="+mn-cs"/>
            </a:rPr>
            <a:t>Note that </a:t>
          </a:r>
          <a:r>
            <a:rPr lang="en-US" sz="1100" b="0" baseline="0">
              <a:solidFill>
                <a:schemeClr val="dk1"/>
              </a:solidFill>
              <a:latin typeface="+mn-lt"/>
              <a:ea typeface="+mn-ea"/>
              <a:cs typeface="+mn-cs"/>
            </a:rPr>
            <a:t> intermediate flows computed by the spreadsheet may be less accurate because the value Wc is based on an average flow width for the full flow condition (H minus freeboard).</a:t>
          </a:r>
          <a:endParaRPr lang="en-US" sz="1100" b="0">
            <a:solidFill>
              <a:schemeClr val="dk1"/>
            </a:solidFill>
            <a:latin typeface="+mn-lt"/>
            <a:ea typeface="+mn-ea"/>
            <a:cs typeface="+mn-cs"/>
          </a:endParaRPr>
        </a:p>
        <a:p>
          <a:r>
            <a:rPr lang="en-US" sz="1100">
              <a:solidFill>
                <a:schemeClr val="dk1"/>
              </a:solidFill>
              <a:latin typeface="+mn-lt"/>
              <a:ea typeface="+mn-ea"/>
              <a:cs typeface="+mn-cs"/>
            </a:rPr>
            <a:t> </a:t>
          </a:r>
        </a:p>
        <a:p>
          <a:pPr lvl="0"/>
          <a:r>
            <a:rPr lang="en-US" sz="1100">
              <a:solidFill>
                <a:schemeClr val="dk1"/>
              </a:solidFill>
              <a:latin typeface="+mn-lt"/>
              <a:ea typeface="+mn-ea"/>
              <a:cs typeface="+mn-cs"/>
            </a:rPr>
            <a:t>Enter estimated tailwater depth above crest for each computed value of Q, based upon the rating curve developed for  the site's downstream channel conditions. </a:t>
          </a:r>
        </a:p>
        <a:p>
          <a:pPr lvl="0"/>
          <a:endParaRPr lang="en-US" sz="1100">
            <a:solidFill>
              <a:schemeClr val="dk1"/>
            </a:solidFill>
            <a:latin typeface="+mn-lt"/>
            <a:ea typeface="+mn-ea"/>
            <a:cs typeface="+mn-cs"/>
          </a:endParaRPr>
        </a:p>
        <a:p>
          <a:pPr lvl="0"/>
          <a:r>
            <a:rPr lang="en-US" sz="1100">
              <a:solidFill>
                <a:schemeClr val="dk1"/>
              </a:solidFill>
              <a:latin typeface="+mn-lt"/>
              <a:ea typeface="+mn-ea"/>
              <a:cs typeface="+mn-cs"/>
            </a:rPr>
            <a:t>Spreadsheet computes min. H required for the design Q by interpolating between data points.</a:t>
          </a:r>
          <a:r>
            <a:rPr lang="en-US" sz="1100" baseline="0">
              <a:solidFill>
                <a:schemeClr val="dk1"/>
              </a:solidFill>
              <a:latin typeface="+mn-lt"/>
              <a:ea typeface="+mn-ea"/>
              <a:cs typeface="+mn-cs"/>
            </a:rPr>
            <a:t> </a:t>
          </a:r>
          <a:r>
            <a:rPr lang="en-US" sz="1100">
              <a:solidFill>
                <a:schemeClr val="dk1"/>
              </a:solidFill>
              <a:latin typeface="+mn-lt"/>
              <a:ea typeface="+mn-ea"/>
              <a:cs typeface="+mn-cs"/>
            </a:rPr>
            <a:t>Compare computed  value of H for design flow to available</a:t>
          </a:r>
          <a:r>
            <a:rPr lang="en-US" sz="1100" baseline="0">
              <a:solidFill>
                <a:schemeClr val="dk1"/>
              </a:solidFill>
              <a:latin typeface="+mn-lt"/>
              <a:ea typeface="+mn-ea"/>
              <a:cs typeface="+mn-cs"/>
            </a:rPr>
            <a:t> structure sizes </a:t>
          </a:r>
          <a:r>
            <a:rPr lang="en-US" sz="1100">
              <a:solidFill>
                <a:schemeClr val="dk1"/>
              </a:solidFill>
              <a:latin typeface="+mn-lt"/>
              <a:ea typeface="+mn-ea"/>
              <a:cs typeface="+mn-cs"/>
            </a:rPr>
            <a:t>and modify structure size as needed.</a:t>
          </a:r>
        </a:p>
        <a:p>
          <a:r>
            <a:rPr lang="en-US" sz="1100">
              <a:solidFill>
                <a:schemeClr val="dk1"/>
              </a:solidFill>
              <a:latin typeface="+mn-lt"/>
              <a:ea typeface="+mn-ea"/>
              <a:cs typeface="+mn-cs"/>
            </a:rPr>
            <a:t> </a:t>
          </a:r>
        </a:p>
        <a:p>
          <a:r>
            <a:rPr lang="en-US" sz="1100">
              <a:solidFill>
                <a:schemeClr val="dk1"/>
              </a:solidFill>
              <a:latin typeface="+mn-lt"/>
              <a:ea typeface="+mn-ea"/>
              <a:cs typeface="+mn-cs"/>
            </a:rPr>
            <a:t>Total head for the submerged outlet condition is derived from Fig. 10 of the reference paper, which plots H</a:t>
          </a:r>
          <a:r>
            <a:rPr lang="en-US" sz="1100" baseline="-25000">
              <a:solidFill>
                <a:schemeClr val="dk1"/>
              </a:solidFill>
              <a:latin typeface="+mn-lt"/>
              <a:ea typeface="+mn-ea"/>
              <a:cs typeface="+mn-cs"/>
            </a:rPr>
            <a:t>t</a:t>
          </a:r>
          <a:r>
            <a:rPr lang="en-US" sz="1100">
              <a:solidFill>
                <a:schemeClr val="dk1"/>
              </a:solidFill>
              <a:latin typeface="+mn-lt"/>
              <a:ea typeface="+mn-ea"/>
              <a:cs typeface="+mn-cs"/>
            </a:rPr>
            <a:t>/H vs. </a:t>
          </a:r>
          <a:r>
            <a:rPr lang="en-US" sz="1100">
              <a:solidFill>
                <a:schemeClr val="dk1"/>
              </a:solidFill>
              <a:latin typeface="Symbol" pitchFamily="18" charset="2"/>
              <a:ea typeface="+mn-ea"/>
              <a:cs typeface="+mn-cs"/>
            </a:rPr>
            <a:t>D</a:t>
          </a:r>
          <a:r>
            <a:rPr lang="en-US" sz="1100">
              <a:solidFill>
                <a:schemeClr val="dk1"/>
              </a:solidFill>
              <a:latin typeface="+mn-lt"/>
              <a:ea typeface="+mn-ea"/>
              <a:cs typeface="+mn-cs"/>
            </a:rPr>
            <a:t>H/H based on values of D/W and Q/(g</a:t>
          </a:r>
          <a:r>
            <a:rPr lang="en-US" sz="1100" baseline="30000">
              <a:solidFill>
                <a:schemeClr val="dk1"/>
              </a:solidFill>
              <a:latin typeface="+mn-lt"/>
              <a:ea typeface="+mn-ea"/>
              <a:cs typeface="+mn-cs"/>
            </a:rPr>
            <a:t>1/2</a:t>
          </a:r>
          <a:r>
            <a:rPr lang="en-US" sz="1100">
              <a:solidFill>
                <a:schemeClr val="dk1"/>
              </a:solidFill>
              <a:latin typeface="+mn-lt"/>
              <a:ea typeface="+mn-ea"/>
              <a:cs typeface="+mn-cs"/>
            </a:rPr>
            <a:t>W</a:t>
          </a:r>
          <a:r>
            <a:rPr lang="en-US" sz="1100" baseline="30000">
              <a:solidFill>
                <a:schemeClr val="dk1"/>
              </a:solidFill>
              <a:latin typeface="+mn-lt"/>
              <a:ea typeface="+mn-ea"/>
              <a:cs typeface="+mn-cs"/>
            </a:rPr>
            <a:t>5/2</a:t>
          </a:r>
          <a:r>
            <a:rPr lang="en-US" sz="1100">
              <a:solidFill>
                <a:schemeClr val="dk1"/>
              </a:solidFill>
              <a:latin typeface="+mn-lt"/>
              <a:ea typeface="+mn-ea"/>
              <a:cs typeface="+mn-cs"/>
            </a:rPr>
            <a:t>). The curves from Fig. 10 could be represented mathematically by equation-fitting, and are close enough together that interpolation between curves isn’t critical. </a:t>
          </a:r>
        </a:p>
        <a:p>
          <a:endParaRPr lang="en-US" sz="1100">
            <a:solidFill>
              <a:schemeClr val="dk1"/>
            </a:solidFill>
            <a:latin typeface="+mn-lt"/>
            <a:ea typeface="+mn-ea"/>
            <a:cs typeface="+mn-cs"/>
          </a:endParaRPr>
        </a:p>
        <a:p>
          <a:r>
            <a:rPr lang="en-US" sz="1100">
              <a:solidFill>
                <a:schemeClr val="dk1"/>
              </a:solidFill>
              <a:latin typeface="+mn-lt"/>
              <a:ea typeface="+mn-ea"/>
              <a:cs typeface="+mn-cs"/>
            </a:rPr>
            <a:t> </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1</xdr:row>
      <xdr:rowOff>47625</xdr:rowOff>
    </xdr:from>
    <xdr:to>
      <xdr:col>16</xdr:col>
      <xdr:colOff>412750</xdr:colOff>
      <xdr:row>27</xdr:row>
      <xdr:rowOff>62773</xdr:rowOff>
    </xdr:to>
    <xdr:pic>
      <xdr:nvPicPr>
        <xdr:cNvPr id="3" name="Picture 2" descr="Fig8ASAEmod11-22-11.jpg"/>
        <xdr:cNvPicPr>
          <a:picLocks noChangeAspect="1"/>
        </xdr:cNvPicPr>
      </xdr:nvPicPr>
      <xdr:blipFill>
        <a:blip xmlns:r="http://schemas.openxmlformats.org/officeDocument/2006/relationships" r:embed="rId1" cstate="print"/>
        <a:stretch>
          <a:fillRect/>
        </a:stretch>
      </xdr:blipFill>
      <xdr:spPr>
        <a:xfrm>
          <a:off x="514350" y="238125"/>
          <a:ext cx="6908800" cy="49681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136526</xdr:colOff>
      <xdr:row>1</xdr:row>
      <xdr:rowOff>34926</xdr:rowOff>
    </xdr:from>
    <xdr:to>
      <xdr:col>17</xdr:col>
      <xdr:colOff>265084</xdr:colOff>
      <xdr:row>25</xdr:row>
      <xdr:rowOff>98425</xdr:rowOff>
    </xdr:to>
    <xdr:pic>
      <xdr:nvPicPr>
        <xdr:cNvPr id="5" name="Picture 4" descr="ASAE Excel Fig11=Fig7Jan2012.jpg"/>
        <xdr:cNvPicPr>
          <a:picLocks noChangeAspect="1"/>
        </xdr:cNvPicPr>
      </xdr:nvPicPr>
      <xdr:blipFill>
        <a:blip xmlns:r="http://schemas.openxmlformats.org/officeDocument/2006/relationships" r:embed="rId1" cstate="print"/>
        <a:srcRect l="5994" t="15675" r="15596" b="10293"/>
        <a:stretch>
          <a:fillRect/>
        </a:stretch>
      </xdr:blipFill>
      <xdr:spPr>
        <a:xfrm>
          <a:off x="136526" y="225426"/>
          <a:ext cx="8062883" cy="46354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1</xdr:row>
      <xdr:rowOff>27369</xdr:rowOff>
    </xdr:from>
    <xdr:to>
      <xdr:col>14</xdr:col>
      <xdr:colOff>400048</xdr:colOff>
      <xdr:row>25</xdr:row>
      <xdr:rowOff>70747</xdr:rowOff>
    </xdr:to>
    <xdr:pic>
      <xdr:nvPicPr>
        <xdr:cNvPr id="2" name="Picture 1" descr="Fig. 14 ASAE Paper 912580.jpg"/>
        <xdr:cNvPicPr>
          <a:picLocks noChangeAspect="1"/>
        </xdr:cNvPicPr>
      </xdr:nvPicPr>
      <xdr:blipFill>
        <a:blip xmlns:r="http://schemas.openxmlformats.org/officeDocument/2006/relationships" r:embed="rId1" cstate="print"/>
        <a:srcRect l="10784" t="22822" r="23897" b="14773"/>
        <a:stretch>
          <a:fillRect/>
        </a:stretch>
      </xdr:blipFill>
      <xdr:spPr>
        <a:xfrm>
          <a:off x="95250" y="217869"/>
          <a:ext cx="7667623" cy="46153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101600</xdr:colOff>
      <xdr:row>17</xdr:row>
      <xdr:rowOff>67441</xdr:rowOff>
    </xdr:from>
    <xdr:to>
      <xdr:col>11</xdr:col>
      <xdr:colOff>368300</xdr:colOff>
      <xdr:row>45</xdr:row>
      <xdr:rowOff>21459</xdr:rowOff>
    </xdr:to>
    <xdr:pic>
      <xdr:nvPicPr>
        <xdr:cNvPr id="5" name="Picture 4" descr="Structure sketch Apr12.jpg"/>
        <xdr:cNvPicPr>
          <a:picLocks noChangeAspect="1"/>
        </xdr:cNvPicPr>
      </xdr:nvPicPr>
      <xdr:blipFill>
        <a:blip xmlns:r="http://schemas.openxmlformats.org/officeDocument/2006/relationships" r:embed="rId1" cstate="print"/>
        <a:srcRect l="22679" t="3365" r="28964" b="8290"/>
        <a:stretch>
          <a:fillRect/>
        </a:stretch>
      </xdr:blipFill>
      <xdr:spPr>
        <a:xfrm>
          <a:off x="1854200" y="3331341"/>
          <a:ext cx="4381500" cy="52880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ia.nrcs.usda.gov/Documents%20and%20Settings/neal.struthers/Local%20Settings/Temporary%20Internet%20Files/Content.Outlook/364R2S4Q/Semicircular_Drop_Structure%20unlocked%20v1_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ee Outlet"/>
      <sheetName val="Free Outlet (2)"/>
      <sheetName val="Submerged Outlet (2)"/>
      <sheetName val="Submerged Outlet"/>
      <sheetName val="Structure Sizes"/>
      <sheetName val="Fig 5 (2)"/>
      <sheetName val="Fig 5"/>
      <sheetName val="Fig 7"/>
      <sheetName val="Fig 9"/>
      <sheetName val="Instructions"/>
      <sheetName val="Info"/>
    </sheetNames>
    <sheetDataSet>
      <sheetData sheetId="0">
        <row r="3">
          <cell r="J3" t="str">
            <v>Semicircular_Drop_Structure.xlsx V1.02</v>
          </cell>
        </row>
      </sheetData>
      <sheetData sheetId="1" refreshError="1"/>
      <sheetData sheetId="2" refreshError="1"/>
      <sheetData sheetId="3">
        <row r="25">
          <cell r="D25">
            <v>341</v>
          </cell>
        </row>
      </sheetData>
      <sheetData sheetId="4" refreshError="1"/>
      <sheetData sheetId="5" refreshError="1"/>
      <sheetData sheetId="6" refreshError="1"/>
      <sheetData sheetId="7" refreshError="1"/>
      <sheetData sheetId="8" refreshError="1"/>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AC53"/>
  <sheetViews>
    <sheetView tabSelected="1" zoomScaleNormal="100" workbookViewId="0">
      <selection activeCell="C1" sqref="C1"/>
    </sheetView>
  </sheetViews>
  <sheetFormatPr defaultRowHeight="15"/>
  <cols>
    <col min="1" max="1" width="6.7109375" customWidth="1"/>
    <col min="2" max="2" width="7.5703125" customWidth="1"/>
    <col min="3" max="3" width="9.5703125" customWidth="1"/>
    <col min="4" max="4" width="6.7109375" customWidth="1"/>
    <col min="5" max="5" width="9.28515625" customWidth="1"/>
    <col min="6" max="6" width="6.7109375" customWidth="1"/>
    <col min="7" max="7" width="5.7109375" customWidth="1"/>
    <col min="8" max="8" width="9" customWidth="1"/>
    <col min="9" max="13" width="6.7109375" customWidth="1"/>
    <col min="14" max="14" width="34.140625" customWidth="1"/>
    <col min="15" max="19" width="6.7109375" customWidth="1"/>
    <col min="20" max="23" width="4.7109375" customWidth="1"/>
  </cols>
  <sheetData>
    <row r="1" spans="1:29">
      <c r="A1" s="91"/>
      <c r="B1" s="164" t="s">
        <v>9</v>
      </c>
      <c r="C1" s="34" t="s">
        <v>164</v>
      </c>
      <c r="D1" s="165"/>
      <c r="E1" s="166"/>
      <c r="F1" s="166"/>
      <c r="G1" s="164" t="s">
        <v>10</v>
      </c>
      <c r="H1" s="248" t="s">
        <v>11</v>
      </c>
      <c r="I1" s="248"/>
      <c r="J1" s="164" t="s">
        <v>12</v>
      </c>
      <c r="K1" s="249">
        <v>40911</v>
      </c>
      <c r="L1" s="248"/>
      <c r="M1" s="167"/>
      <c r="O1" s="225" t="s">
        <v>181</v>
      </c>
    </row>
    <row r="2" spans="1:29">
      <c r="A2" s="168"/>
      <c r="B2" s="38" t="s">
        <v>13</v>
      </c>
      <c r="C2" s="34" t="s">
        <v>14</v>
      </c>
      <c r="D2" s="34"/>
      <c r="E2" s="6"/>
      <c r="F2" s="6"/>
      <c r="G2" s="38" t="s">
        <v>15</v>
      </c>
      <c r="H2" s="248"/>
      <c r="I2" s="248"/>
      <c r="J2" s="38" t="s">
        <v>12</v>
      </c>
      <c r="K2" s="248"/>
      <c r="L2" s="248"/>
      <c r="M2" s="169"/>
      <c r="T2">
        <f t="shared" ref="T2:AA2" si="0">IF(W=T3,1,0)</f>
        <v>0</v>
      </c>
      <c r="U2" s="140">
        <f t="shared" si="0"/>
        <v>0</v>
      </c>
      <c r="V2" s="140">
        <f t="shared" si="0"/>
        <v>0</v>
      </c>
      <c r="W2" s="140">
        <f t="shared" si="0"/>
        <v>1</v>
      </c>
      <c r="X2" s="140">
        <f t="shared" si="0"/>
        <v>0</v>
      </c>
      <c r="Y2" s="140">
        <f t="shared" si="0"/>
        <v>0</v>
      </c>
      <c r="Z2" s="140">
        <f t="shared" si="0"/>
        <v>0</v>
      </c>
      <c r="AA2" s="140">
        <f t="shared" si="0"/>
        <v>0</v>
      </c>
      <c r="AB2" s="140">
        <f>SUM(T2:AA2)</f>
        <v>1</v>
      </c>
    </row>
    <row r="3" spans="1:29">
      <c r="A3" s="221" t="s">
        <v>16</v>
      </c>
      <c r="B3" s="222"/>
      <c r="C3" s="222"/>
      <c r="D3" s="222"/>
      <c r="E3" s="222"/>
      <c r="F3" s="222"/>
      <c r="G3" s="222"/>
      <c r="H3" s="222"/>
      <c r="I3" s="222"/>
      <c r="J3" s="141"/>
      <c r="K3" s="141"/>
      <c r="L3" s="223" t="str">
        <f>Info!A1</f>
        <v>Semicircular_Drop_Structure.xlsx V1.03</v>
      </c>
      <c r="M3" s="82"/>
      <c r="O3" t="s">
        <v>52</v>
      </c>
      <c r="S3" s="22"/>
      <c r="T3" s="23">
        <f>IF(D&gt;4,0,7)</f>
        <v>0</v>
      </c>
      <c r="U3" s="22">
        <v>8</v>
      </c>
      <c r="V3" s="24">
        <v>10</v>
      </c>
      <c r="W3" s="24">
        <v>12</v>
      </c>
      <c r="X3" s="25">
        <v>14</v>
      </c>
      <c r="Y3" s="25">
        <v>16</v>
      </c>
      <c r="Z3" s="25">
        <f>IF(D&gt;4,0,18)</f>
        <v>0</v>
      </c>
      <c r="AA3" s="25">
        <f>IF(F&gt;4,0,20)</f>
        <v>0</v>
      </c>
      <c r="AB3" s="22"/>
      <c r="AC3" s="22"/>
    </row>
    <row r="4" spans="1:29">
      <c r="A4" s="171" t="s">
        <v>54</v>
      </c>
      <c r="B4" s="170"/>
      <c r="C4" s="170"/>
      <c r="D4" s="170"/>
      <c r="E4" s="170"/>
      <c r="F4" s="170"/>
      <c r="G4" s="170"/>
      <c r="H4" s="170"/>
      <c r="I4" s="170"/>
      <c r="J4" s="170"/>
      <c r="K4" s="6"/>
      <c r="L4" s="6"/>
      <c r="M4" s="169"/>
      <c r="O4" s="3">
        <f t="shared" ref="O4:O14" si="1">HLOOKUP(W,T$3:AA$14,S4)</f>
        <v>20.6</v>
      </c>
      <c r="P4">
        <f t="shared" ref="P4:P14" si="2">IF(L=O4,1,0)</f>
        <v>0</v>
      </c>
      <c r="Q4" s="41" t="b">
        <f>AND(AB2,Z19)</f>
        <v>1</v>
      </c>
      <c r="S4" s="22">
        <v>2</v>
      </c>
      <c r="T4" s="26">
        <v>14.2</v>
      </c>
      <c r="U4" s="26">
        <v>14.2</v>
      </c>
      <c r="V4" s="27">
        <v>17.399999999999999</v>
      </c>
      <c r="W4" s="27">
        <v>20.6</v>
      </c>
      <c r="X4" s="26">
        <v>23.8</v>
      </c>
      <c r="Y4" s="26">
        <v>27</v>
      </c>
      <c r="Z4" s="28">
        <f t="shared" ref="Z4:Z11" si="3">IF(D&gt;4,0,AB4)</f>
        <v>0</v>
      </c>
      <c r="AA4" s="28">
        <f t="shared" ref="AA4" si="4">IF(F&gt;4,0,AC4)</f>
        <v>0</v>
      </c>
      <c r="AB4" s="28">
        <v>30.2</v>
      </c>
      <c r="AC4" s="26">
        <v>33.4</v>
      </c>
    </row>
    <row r="5" spans="1:29">
      <c r="A5" s="168"/>
      <c r="B5" s="170" t="s">
        <v>162</v>
      </c>
      <c r="C5" s="170"/>
      <c r="D5" s="170"/>
      <c r="E5" s="170" t="s">
        <v>31</v>
      </c>
      <c r="F5" s="15">
        <v>340</v>
      </c>
      <c r="G5" s="170" t="s">
        <v>32</v>
      </c>
      <c r="H5" s="170"/>
      <c r="I5" s="170"/>
      <c r="J5" s="170"/>
      <c r="K5" s="6"/>
      <c r="L5" s="6"/>
      <c r="M5" s="169"/>
      <c r="O5" s="3">
        <f t="shared" si="1"/>
        <v>22.2</v>
      </c>
      <c r="P5" s="140">
        <f t="shared" si="2"/>
        <v>0</v>
      </c>
      <c r="S5" s="22">
        <v>3</v>
      </c>
      <c r="T5" s="26">
        <v>15.8</v>
      </c>
      <c r="U5" s="26">
        <v>15.8</v>
      </c>
      <c r="V5" s="27">
        <v>19</v>
      </c>
      <c r="W5" s="27">
        <v>22.2</v>
      </c>
      <c r="X5" s="26">
        <v>25.4</v>
      </c>
      <c r="Y5" s="26">
        <v>28.6</v>
      </c>
      <c r="Z5" s="28">
        <f t="shared" si="3"/>
        <v>0</v>
      </c>
      <c r="AA5" s="28">
        <f t="shared" ref="AA5:AA14" si="5">IF(D&gt;4,0,AC5)</f>
        <v>0</v>
      </c>
      <c r="AB5" s="28">
        <v>31.8</v>
      </c>
      <c r="AC5" s="26">
        <v>35</v>
      </c>
    </row>
    <row r="6" spans="1:29">
      <c r="A6" s="168"/>
      <c r="B6" s="170" t="s">
        <v>17</v>
      </c>
      <c r="C6" s="170"/>
      <c r="D6" s="6"/>
      <c r="E6" s="38" t="s">
        <v>18</v>
      </c>
      <c r="F6" s="15">
        <v>6</v>
      </c>
      <c r="G6" s="170" t="s">
        <v>19</v>
      </c>
      <c r="H6" s="172" t="str">
        <f>IF(Q4,"","D, or W Not Standard")</f>
        <v/>
      </c>
      <c r="I6" s="6"/>
      <c r="J6" s="6"/>
      <c r="K6" s="170" t="s">
        <v>20</v>
      </c>
      <c r="L6" s="173">
        <f>F6/F7</f>
        <v>0.5</v>
      </c>
      <c r="M6" s="174" t="str">
        <f>IF(L6&gt;0.625,"Note1"," ")</f>
        <v xml:space="preserve"> </v>
      </c>
      <c r="O6" s="3">
        <f t="shared" si="1"/>
        <v>23.8</v>
      </c>
      <c r="P6" s="140">
        <f t="shared" si="2"/>
        <v>1</v>
      </c>
      <c r="S6" s="22">
        <v>4</v>
      </c>
      <c r="T6" s="27">
        <v>17.399999999999999</v>
      </c>
      <c r="U6" s="26">
        <v>17.399999999999999</v>
      </c>
      <c r="V6" s="27">
        <v>20.6</v>
      </c>
      <c r="W6" s="27">
        <v>23.8</v>
      </c>
      <c r="X6" s="26">
        <v>27</v>
      </c>
      <c r="Y6" s="26">
        <v>30.2</v>
      </c>
      <c r="Z6" s="28">
        <f t="shared" si="3"/>
        <v>0</v>
      </c>
      <c r="AA6" s="28">
        <f t="shared" si="5"/>
        <v>0</v>
      </c>
      <c r="AB6" s="28">
        <v>33.4</v>
      </c>
      <c r="AC6" s="22">
        <v>36.6</v>
      </c>
    </row>
    <row r="7" spans="1:29">
      <c r="A7" s="168"/>
      <c r="B7" s="170" t="s">
        <v>21</v>
      </c>
      <c r="C7" s="170"/>
      <c r="D7" s="6"/>
      <c r="E7" s="38" t="s">
        <v>22</v>
      </c>
      <c r="F7" s="15">
        <v>12</v>
      </c>
      <c r="G7" s="170" t="s">
        <v>19</v>
      </c>
      <c r="H7" s="175" t="str">
        <f>IF(AND(F6&gt;4,F7&gt;16),"W&gt;16' &amp; D&gt;4","")</f>
        <v/>
      </c>
      <c r="I7" s="6"/>
      <c r="J7" s="6"/>
      <c r="K7" s="170" t="s">
        <v>23</v>
      </c>
      <c r="L7" s="173">
        <f>F9/F7</f>
        <v>0.19999999999999998</v>
      </c>
      <c r="M7" s="174" t="str">
        <f>IF(L7&gt;0.5,"Note2"," ")</f>
        <v xml:space="preserve"> </v>
      </c>
      <c r="O7" s="3">
        <f t="shared" si="1"/>
        <v>25.4</v>
      </c>
      <c r="P7" s="140">
        <f t="shared" si="2"/>
        <v>0</v>
      </c>
      <c r="S7" s="22">
        <v>5</v>
      </c>
      <c r="T7" s="22"/>
      <c r="U7" s="26">
        <v>19</v>
      </c>
      <c r="V7" s="27">
        <v>22.2</v>
      </c>
      <c r="W7" s="27">
        <v>25.4</v>
      </c>
      <c r="X7" s="26">
        <v>28.6</v>
      </c>
      <c r="Y7" s="26">
        <v>31.8</v>
      </c>
      <c r="Z7" s="28">
        <f t="shared" si="3"/>
        <v>0</v>
      </c>
      <c r="AA7" s="28">
        <f t="shared" si="5"/>
        <v>0</v>
      </c>
      <c r="AB7" s="28">
        <v>36.6</v>
      </c>
      <c r="AC7" s="22">
        <v>38.299999999999997</v>
      </c>
    </row>
    <row r="8" spans="1:29">
      <c r="A8" s="168"/>
      <c r="B8" s="170" t="s">
        <v>24</v>
      </c>
      <c r="C8" s="170"/>
      <c r="D8" s="6"/>
      <c r="E8" s="38" t="s">
        <v>25</v>
      </c>
      <c r="F8" s="15">
        <v>23.8</v>
      </c>
      <c r="G8" s="170" t="s">
        <v>19</v>
      </c>
      <c r="H8" s="220" t="str">
        <f>IF(P15,""," L Not Standard")</f>
        <v/>
      </c>
      <c r="I8" s="6"/>
      <c r="J8" s="6"/>
      <c r="K8" s="170" t="s">
        <v>26</v>
      </c>
      <c r="L8" s="173">
        <f>$F$13/$F$8</f>
        <v>1.7092436974789915</v>
      </c>
      <c r="M8" s="174" t="str">
        <f>IF(L8&lt;1,"Wc/L&lt;1!"," ")</f>
        <v xml:space="preserve"> </v>
      </c>
      <c r="O8" s="3">
        <f t="shared" si="1"/>
        <v>27</v>
      </c>
      <c r="P8" s="140">
        <f t="shared" si="2"/>
        <v>0</v>
      </c>
      <c r="S8" s="22">
        <v>6</v>
      </c>
      <c r="T8" s="22"/>
      <c r="U8" s="27">
        <v>20.6</v>
      </c>
      <c r="V8" s="27">
        <v>23.8</v>
      </c>
      <c r="W8" s="27">
        <v>27</v>
      </c>
      <c r="X8" s="26">
        <v>30.2</v>
      </c>
      <c r="Y8" s="27">
        <v>33.4</v>
      </c>
      <c r="Z8" s="28">
        <f t="shared" si="3"/>
        <v>0</v>
      </c>
      <c r="AA8" s="28">
        <f t="shared" si="5"/>
        <v>0</v>
      </c>
      <c r="AB8" s="28">
        <v>38.299999999999997</v>
      </c>
      <c r="AC8" s="22">
        <v>39.9</v>
      </c>
    </row>
    <row r="9" spans="1:29">
      <c r="A9" s="168"/>
      <c r="B9" s="170" t="s">
        <v>27</v>
      </c>
      <c r="C9" s="170"/>
      <c r="D9" s="6"/>
      <c r="E9" s="38" t="s">
        <v>186</v>
      </c>
      <c r="F9" s="176">
        <f>ROUND((F8-PI()*F7/2-0.25)/2,1)</f>
        <v>2.4</v>
      </c>
      <c r="G9" s="170" t="s">
        <v>19</v>
      </c>
      <c r="H9" s="175" t="str">
        <f>IF(F9&lt;0.5,"B&lt;0.5'",IF(AND(F6&gt;4,F9&gt;4),"B&gt;4.0'"," "))</f>
        <v xml:space="preserve"> </v>
      </c>
      <c r="I9" s="170"/>
      <c r="J9" s="170"/>
      <c r="K9" s="6"/>
      <c r="L9" s="6"/>
      <c r="M9" s="169"/>
      <c r="O9" s="3">
        <f t="shared" si="1"/>
        <v>28.6</v>
      </c>
      <c r="P9" s="140">
        <f t="shared" si="2"/>
        <v>0</v>
      </c>
      <c r="S9" s="22">
        <v>7</v>
      </c>
      <c r="T9" s="22"/>
      <c r="U9" s="22"/>
      <c r="V9" s="27">
        <v>25.4</v>
      </c>
      <c r="W9" s="27">
        <v>28.6</v>
      </c>
      <c r="X9" s="27">
        <f>IF(D&gt;4,0,31.8)</f>
        <v>0</v>
      </c>
      <c r="Y9" s="27">
        <f>IF(D&gt;4,0,35)</f>
        <v>0</v>
      </c>
      <c r="Z9" s="28">
        <f t="shared" si="3"/>
        <v>0</v>
      </c>
      <c r="AA9" s="28">
        <f t="shared" si="5"/>
        <v>0</v>
      </c>
      <c r="AB9" s="28">
        <v>39.9</v>
      </c>
      <c r="AC9" s="24">
        <v>41.5</v>
      </c>
    </row>
    <row r="10" spans="1:29">
      <c r="A10" s="177"/>
      <c r="B10" s="178" t="s">
        <v>29</v>
      </c>
      <c r="C10" s="170"/>
      <c r="D10" s="6"/>
      <c r="E10" s="38" t="s">
        <v>30</v>
      </c>
      <c r="F10" s="224">
        <v>2.84</v>
      </c>
      <c r="G10" s="170" t="s">
        <v>19</v>
      </c>
      <c r="H10" s="172" t="str">
        <f>IF(Q17,"","H Not Standard")</f>
        <v/>
      </c>
      <c r="I10" s="6"/>
      <c r="J10" s="6"/>
      <c r="K10" s="6"/>
      <c r="L10" s="6"/>
      <c r="M10" s="169"/>
      <c r="O10" s="3">
        <f t="shared" si="1"/>
        <v>0</v>
      </c>
      <c r="P10" s="140">
        <f t="shared" si="2"/>
        <v>0</v>
      </c>
      <c r="S10" s="22">
        <v>8</v>
      </c>
      <c r="T10" s="22"/>
      <c r="U10" s="22"/>
      <c r="V10" s="22"/>
      <c r="W10" s="22"/>
      <c r="X10" s="24"/>
      <c r="Y10" s="27">
        <f>IF(D&gt;4,0,36.6)</f>
        <v>0</v>
      </c>
      <c r="Z10" s="28">
        <f t="shared" si="3"/>
        <v>0</v>
      </c>
      <c r="AA10" s="28">
        <f t="shared" si="5"/>
        <v>0</v>
      </c>
      <c r="AB10" s="28">
        <v>41.5</v>
      </c>
      <c r="AC10" s="24">
        <v>43.1</v>
      </c>
    </row>
    <row r="11" spans="1:29">
      <c r="A11" s="168"/>
      <c r="B11" s="170" t="s">
        <v>184</v>
      </c>
      <c r="C11" s="6"/>
      <c r="D11" s="6"/>
      <c r="E11" s="38" t="s">
        <v>185</v>
      </c>
      <c r="F11" s="15">
        <v>0</v>
      </c>
      <c r="G11" s="29" t="s">
        <v>19</v>
      </c>
      <c r="H11" s="163" t="str">
        <f>IF(P24," ","Wa Not Standard")</f>
        <v xml:space="preserve"> </v>
      </c>
      <c r="I11" s="6"/>
      <c r="J11" s="6"/>
      <c r="K11" s="6"/>
      <c r="L11" s="6"/>
      <c r="M11" s="169"/>
      <c r="O11" s="3">
        <f t="shared" si="1"/>
        <v>0</v>
      </c>
      <c r="P11" s="140">
        <f t="shared" si="2"/>
        <v>0</v>
      </c>
      <c r="S11" s="22">
        <v>9</v>
      </c>
      <c r="T11" s="22"/>
      <c r="U11" s="22"/>
      <c r="V11" s="22"/>
      <c r="W11" s="22"/>
      <c r="X11" s="24"/>
      <c r="Y11" s="24"/>
      <c r="Z11" s="28">
        <f t="shared" si="3"/>
        <v>0</v>
      </c>
      <c r="AA11" s="28">
        <f t="shared" si="5"/>
        <v>0</v>
      </c>
      <c r="AB11" s="28">
        <v>43.1</v>
      </c>
      <c r="AC11" s="24">
        <v>44.7</v>
      </c>
    </row>
    <row r="12" spans="1:29">
      <c r="A12" s="168"/>
      <c r="B12" s="170" t="s">
        <v>91</v>
      </c>
      <c r="C12" s="170"/>
      <c r="D12" s="6"/>
      <c r="E12" s="38" t="s">
        <v>90</v>
      </c>
      <c r="F12" s="20">
        <f>W+4*D+2*Wb</f>
        <v>36</v>
      </c>
      <c r="G12" s="170" t="s">
        <v>19</v>
      </c>
      <c r="H12" s="179" t="str">
        <f>IF(L6&gt;0.625,"Note1: D/W out of range, results may not be correct"," ")</f>
        <v xml:space="preserve"> </v>
      </c>
      <c r="I12" s="6"/>
      <c r="J12" s="6"/>
      <c r="K12" s="180"/>
      <c r="L12" s="6"/>
      <c r="M12" s="169"/>
      <c r="O12" s="3">
        <f t="shared" si="1"/>
        <v>0</v>
      </c>
      <c r="P12" s="140">
        <f t="shared" si="2"/>
        <v>0</v>
      </c>
      <c r="S12" s="22">
        <v>10</v>
      </c>
      <c r="T12" s="22"/>
      <c r="U12" s="22"/>
      <c r="V12" s="22"/>
      <c r="W12" s="22"/>
      <c r="X12" s="24"/>
      <c r="Y12" s="24"/>
      <c r="Z12" s="28"/>
      <c r="AA12" s="28">
        <f t="shared" si="5"/>
        <v>0</v>
      </c>
      <c r="AB12" s="24"/>
      <c r="AC12" s="24">
        <v>46.3</v>
      </c>
    </row>
    <row r="13" spans="1:29">
      <c r="A13" s="168"/>
      <c r="B13" s="6" t="s">
        <v>28</v>
      </c>
      <c r="C13" s="170"/>
      <c r="D13" s="6"/>
      <c r="E13" s="44" t="s">
        <v>156</v>
      </c>
      <c r="F13" s="75">
        <f>W+4*D+2*Wb+2*(H-0.5)</f>
        <v>40.68</v>
      </c>
      <c r="G13" s="29" t="s">
        <v>19</v>
      </c>
      <c r="H13" s="162" t="str">
        <f>IF(L7&gt;0.5,"Note2: B/W out of range, results may not be correct"," ")</f>
        <v xml:space="preserve"> </v>
      </c>
      <c r="I13" s="170"/>
      <c r="J13" s="170"/>
      <c r="K13" s="6"/>
      <c r="L13" s="6"/>
      <c r="M13" s="169"/>
      <c r="O13" s="3">
        <f t="shared" si="1"/>
        <v>0</v>
      </c>
      <c r="P13" s="140">
        <f t="shared" si="2"/>
        <v>0</v>
      </c>
      <c r="S13" s="22">
        <v>11</v>
      </c>
      <c r="T13" s="22"/>
      <c r="U13" s="22"/>
      <c r="V13" s="22"/>
      <c r="W13" s="22"/>
      <c r="X13" s="24"/>
      <c r="Y13" s="24"/>
      <c r="Z13" s="28"/>
      <c r="AA13" s="28">
        <f t="shared" si="5"/>
        <v>0</v>
      </c>
      <c r="AB13" s="24"/>
      <c r="AC13" s="24">
        <v>47.9</v>
      </c>
    </row>
    <row r="14" spans="1:29" ht="15" customHeight="1">
      <c r="A14" s="181"/>
      <c r="B14" s="170"/>
      <c r="C14" s="6"/>
      <c r="D14" s="6"/>
      <c r="E14" s="38" t="s">
        <v>33</v>
      </c>
      <c r="F14" s="15">
        <v>0</v>
      </c>
      <c r="G14" s="170" t="s">
        <v>19</v>
      </c>
      <c r="H14" s="6"/>
      <c r="I14" s="170"/>
      <c r="J14" s="170"/>
      <c r="K14" s="6"/>
      <c r="L14" s="6"/>
      <c r="M14" s="182"/>
      <c r="O14" s="3">
        <f t="shared" si="1"/>
        <v>0</v>
      </c>
      <c r="P14" s="140">
        <f t="shared" si="2"/>
        <v>0</v>
      </c>
      <c r="S14" s="21">
        <v>12</v>
      </c>
      <c r="U14" s="22"/>
      <c r="V14" s="22"/>
      <c r="W14" s="22"/>
      <c r="X14" s="24"/>
      <c r="Y14" s="24"/>
      <c r="Z14" s="28"/>
      <c r="AA14" s="28">
        <f t="shared" si="5"/>
        <v>0</v>
      </c>
      <c r="AB14" s="24"/>
      <c r="AC14" s="24">
        <v>49.5</v>
      </c>
    </row>
    <row r="15" spans="1:29" ht="18">
      <c r="A15" s="171" t="s">
        <v>166</v>
      </c>
      <c r="B15" s="170"/>
      <c r="C15" s="170"/>
      <c r="D15" s="170"/>
      <c r="E15" s="170"/>
      <c r="F15" s="170"/>
      <c r="G15" s="170"/>
      <c r="H15" s="170"/>
      <c r="I15" s="170"/>
      <c r="J15" s="170"/>
      <c r="K15" s="6"/>
      <c r="L15" s="6"/>
      <c r="M15" s="169"/>
      <c r="P15">
        <f>SUM(P4:P14)</f>
        <v>1</v>
      </c>
      <c r="T15" s="26">
        <f>MAX(O4:O14)</f>
        <v>28.6</v>
      </c>
    </row>
    <row r="16" spans="1:29" ht="17.25">
      <c r="A16" s="183" t="s">
        <v>85</v>
      </c>
      <c r="B16" s="29"/>
      <c r="C16" s="29"/>
      <c r="D16" s="184" t="s">
        <v>83</v>
      </c>
      <c r="E16" s="33">
        <f>'Fig 5 tabulated'!Q47</f>
        <v>0.48080000000000001</v>
      </c>
      <c r="F16" s="6"/>
      <c r="G16" s="38" t="s">
        <v>34</v>
      </c>
      <c r="H16" s="170" t="s">
        <v>35</v>
      </c>
      <c r="I16" s="170"/>
      <c r="J16" s="6"/>
      <c r="K16" s="185">
        <f>E16*64.4^0.5</f>
        <v>3.858401277213142</v>
      </c>
      <c r="L16" s="170"/>
      <c r="M16" s="169"/>
      <c r="O16" t="s">
        <v>53</v>
      </c>
      <c r="S16" s="21"/>
      <c r="T16" s="22"/>
      <c r="U16" s="22">
        <v>1.9</v>
      </c>
      <c r="V16" s="22">
        <v>3</v>
      </c>
      <c r="W16" s="22">
        <v>4</v>
      </c>
      <c r="X16" s="24">
        <v>5</v>
      </c>
      <c r="Y16" s="24">
        <v>6</v>
      </c>
      <c r="Z16" s="24"/>
      <c r="AA16" s="24"/>
      <c r="AB16" s="22"/>
      <c r="AC16" s="22"/>
    </row>
    <row r="17" spans="1:29" ht="18">
      <c r="A17" s="183" t="s">
        <v>86</v>
      </c>
      <c r="B17" s="186"/>
      <c r="C17" s="29"/>
      <c r="D17" s="184" t="s">
        <v>84</v>
      </c>
      <c r="E17" s="33">
        <f>'Fig 7 tabulated'!O47</f>
        <v>0.65860000000000007</v>
      </c>
      <c r="F17" s="6"/>
      <c r="G17" s="38" t="s">
        <v>36</v>
      </c>
      <c r="H17" s="170" t="s">
        <v>37</v>
      </c>
      <c r="I17" s="170"/>
      <c r="J17" s="6"/>
      <c r="K17" s="185">
        <f>E17*64.4^0.5</f>
        <v>5.2852393535203319</v>
      </c>
      <c r="L17" s="170"/>
      <c r="M17" s="169"/>
      <c r="O17" s="12">
        <f>HLOOKUP(D,U$16:Y$18,S17)</f>
        <v>2.04</v>
      </c>
      <c r="Q17" s="140" t="b">
        <f>OR(H=O17,H=O18)</f>
        <v>1</v>
      </c>
      <c r="S17" s="22">
        <v>2</v>
      </c>
      <c r="T17" s="22"/>
      <c r="U17" s="22">
        <v>1.8</v>
      </c>
      <c r="V17" s="22">
        <v>1.9</v>
      </c>
      <c r="W17" s="22">
        <v>2.1</v>
      </c>
      <c r="X17" s="22">
        <v>2.23</v>
      </c>
      <c r="Y17" s="22">
        <v>2.04</v>
      </c>
      <c r="Z17" s="22"/>
      <c r="AA17" s="22"/>
      <c r="AB17" s="22"/>
      <c r="AC17" s="22"/>
    </row>
    <row r="18" spans="1:29" ht="18">
      <c r="A18" s="183" t="s">
        <v>115</v>
      </c>
      <c r="B18" s="186"/>
      <c r="C18" s="29"/>
      <c r="D18" s="184" t="s">
        <v>116</v>
      </c>
      <c r="E18" s="33">
        <f>'Fig 9 tabulated '!N55</f>
        <v>-9.9692436974789897E-2</v>
      </c>
      <c r="F18" s="6"/>
      <c r="G18" s="38" t="s">
        <v>38</v>
      </c>
      <c r="H18" s="170" t="s">
        <v>39</v>
      </c>
      <c r="I18" s="170"/>
      <c r="J18" s="6"/>
      <c r="K18" s="170">
        <f>E18*F7</f>
        <v>-1.1963092436974787</v>
      </c>
      <c r="L18" s="170" t="s">
        <v>19</v>
      </c>
      <c r="M18" s="169"/>
      <c r="O18" s="12">
        <f>HLOOKUP(D,U$16:Y$18,S18)</f>
        <v>2.84</v>
      </c>
      <c r="S18" s="22">
        <v>3</v>
      </c>
      <c r="T18" s="22"/>
      <c r="U18" s="22">
        <v>0</v>
      </c>
      <c r="V18" s="22">
        <v>0</v>
      </c>
      <c r="W18" s="22">
        <v>0</v>
      </c>
      <c r="X18" s="22">
        <v>3.04</v>
      </c>
      <c r="Y18" s="22">
        <v>2.84</v>
      </c>
      <c r="Z18" s="22"/>
      <c r="AA18" s="22"/>
      <c r="AB18" s="22"/>
      <c r="AC18" s="22"/>
    </row>
    <row r="19" spans="1:29">
      <c r="A19" s="168"/>
      <c r="B19" s="245" t="s">
        <v>89</v>
      </c>
      <c r="C19" s="246"/>
      <c r="D19" s="246"/>
      <c r="E19" s="246"/>
      <c r="F19" s="246"/>
      <c r="G19" s="246"/>
      <c r="H19" s="246"/>
      <c r="I19" s="246"/>
      <c r="J19" s="246"/>
      <c r="K19" s="246"/>
      <c r="L19" s="246"/>
      <c r="M19" s="247"/>
      <c r="O19" s="12" t="s">
        <v>82</v>
      </c>
      <c r="Q19" s="22"/>
      <c r="R19" s="22"/>
      <c r="S19" s="22"/>
      <c r="T19" s="22"/>
      <c r="U19" s="22">
        <f>IF(D=U16,1,0)</f>
        <v>0</v>
      </c>
      <c r="V19" s="22">
        <f>IF(D=V16,1,0)</f>
        <v>0</v>
      </c>
      <c r="W19" s="22">
        <f>IF(D=W16,1,0)</f>
        <v>0</v>
      </c>
      <c r="X19" s="22">
        <f>IF(D=X16,1,0)</f>
        <v>0</v>
      </c>
      <c r="Y19" s="22">
        <f>IF(D=Y16,1,0)</f>
        <v>1</v>
      </c>
      <c r="Z19" s="22">
        <f>SUM(U19:Y19)</f>
        <v>1</v>
      </c>
    </row>
    <row r="20" spans="1:29" ht="15" customHeight="1">
      <c r="A20" s="187"/>
      <c r="B20" s="246"/>
      <c r="C20" s="246"/>
      <c r="D20" s="246"/>
      <c r="E20" s="246"/>
      <c r="F20" s="246"/>
      <c r="G20" s="246"/>
      <c r="H20" s="246"/>
      <c r="I20" s="246"/>
      <c r="J20" s="246"/>
      <c r="K20" s="246"/>
      <c r="L20" s="246"/>
      <c r="M20" s="247"/>
      <c r="O20" s="12">
        <v>0</v>
      </c>
      <c r="P20" s="159">
        <f>IF(Wb=O20,1,0)</f>
        <v>1</v>
      </c>
      <c r="Q20" s="22"/>
      <c r="R20" s="22"/>
      <c r="S20" s="22"/>
      <c r="T20" s="22"/>
      <c r="U20" s="22"/>
    </row>
    <row r="21" spans="1:29">
      <c r="A21" s="177" t="s">
        <v>87</v>
      </c>
      <c r="B21" s="170"/>
      <c r="C21" s="170"/>
      <c r="D21" s="170"/>
      <c r="E21" s="170"/>
      <c r="F21" s="170"/>
      <c r="G21" s="170"/>
      <c r="H21" s="170"/>
      <c r="I21" s="170"/>
      <c r="J21" s="170"/>
      <c r="K21" s="6"/>
      <c r="L21" s="6"/>
      <c r="M21" s="169"/>
      <c r="O21" s="12">
        <f>IF(D&gt;4,0,2)</f>
        <v>0</v>
      </c>
      <c r="P21" s="159">
        <f>IF(Wb=O21,1,0)</f>
        <v>1</v>
      </c>
      <c r="R21" s="12"/>
      <c r="S21" s="12"/>
      <c r="T21" s="12"/>
      <c r="U21" s="12"/>
    </row>
    <row r="22" spans="1:29" ht="18">
      <c r="A22" s="181"/>
      <c r="B22" s="6"/>
      <c r="C22" s="178"/>
      <c r="D22" s="38" t="s">
        <v>40</v>
      </c>
      <c r="E22" s="38" t="s">
        <v>41</v>
      </c>
      <c r="F22" s="185">
        <f>$F$10*0.1/1.1</f>
        <v>0.25818181818181812</v>
      </c>
      <c r="G22" s="170" t="s">
        <v>19</v>
      </c>
      <c r="H22" s="6"/>
      <c r="I22" s="170"/>
      <c r="J22" s="6"/>
      <c r="K22" s="6"/>
      <c r="L22" s="6"/>
      <c r="M22" s="169"/>
      <c r="O22" s="12">
        <f>IF(D&gt;4,0,4)</f>
        <v>0</v>
      </c>
      <c r="P22" s="159">
        <f>IF(Wb=O22,1,0)</f>
        <v>1</v>
      </c>
      <c r="R22" s="12"/>
      <c r="S22" s="12"/>
      <c r="T22" s="12"/>
      <c r="U22" s="12"/>
    </row>
    <row r="23" spans="1:29">
      <c r="A23" s="181"/>
      <c r="B23" s="6"/>
      <c r="C23" s="29"/>
      <c r="D23" s="184" t="s">
        <v>42</v>
      </c>
      <c r="E23" s="184" t="s">
        <v>43</v>
      </c>
      <c r="F23" s="185">
        <f>MAX(F14,F22)</f>
        <v>0.25818181818181812</v>
      </c>
      <c r="G23" s="170" t="s">
        <v>19</v>
      </c>
      <c r="H23" s="170"/>
      <c r="I23" s="170"/>
      <c r="J23" s="170"/>
      <c r="K23" s="6"/>
      <c r="L23" s="6"/>
      <c r="M23" s="169"/>
      <c r="O23" s="12">
        <f>IF(D&gt;4,0,6)</f>
        <v>0</v>
      </c>
      <c r="P23" s="159">
        <f>IF(Wb=O23,1,0)</f>
        <v>1</v>
      </c>
    </row>
    <row r="24" spans="1:29">
      <c r="A24" s="181"/>
      <c r="B24" s="6"/>
      <c r="C24" s="170"/>
      <c r="D24" s="38" t="s">
        <v>44</v>
      </c>
      <c r="E24" s="38" t="s">
        <v>45</v>
      </c>
      <c r="F24" s="19">
        <f>$F$10-F23</f>
        <v>2.5818181818181816</v>
      </c>
      <c r="G24" s="170" t="s">
        <v>19</v>
      </c>
      <c r="H24" s="170"/>
      <c r="I24" s="170"/>
      <c r="J24" s="170"/>
      <c r="K24" s="6"/>
      <c r="L24" s="6"/>
      <c r="M24" s="169"/>
      <c r="P24">
        <f>SUM(P20:P23)</f>
        <v>4</v>
      </c>
    </row>
    <row r="25" spans="1:29" ht="18">
      <c r="A25" s="181"/>
      <c r="B25" s="6"/>
      <c r="C25" s="170"/>
      <c r="D25" s="38" t="s">
        <v>46</v>
      </c>
      <c r="E25" s="38" t="s">
        <v>47</v>
      </c>
      <c r="F25" s="20">
        <f>$K$16*$F$8*F24^1.5</f>
        <v>380.95425794217772</v>
      </c>
      <c r="G25" s="170" t="s">
        <v>32</v>
      </c>
      <c r="H25" s="188" t="str">
        <f>IF(F25&lt;F26,"Weir control governs"," ")</f>
        <v>Weir control governs</v>
      </c>
      <c r="I25" s="170"/>
      <c r="J25" s="170"/>
      <c r="K25" s="6"/>
      <c r="L25" s="6"/>
      <c r="M25" s="169"/>
    </row>
    <row r="26" spans="1:29" ht="18.75" thickBot="1">
      <c r="A26" s="189"/>
      <c r="B26" s="6"/>
      <c r="C26" s="170"/>
      <c r="D26" s="38" t="s">
        <v>48</v>
      </c>
      <c r="E26" s="38" t="s">
        <v>49</v>
      </c>
      <c r="F26" s="20">
        <f>$K$17*$F$7*(F24-$K$18)^1.5</f>
        <v>465.75852005976719</v>
      </c>
      <c r="G26" s="29" t="s">
        <v>32</v>
      </c>
      <c r="H26" s="170" t="str">
        <f>IF(F26&lt;F25,"Headwall control governs"," ")</f>
        <v xml:space="preserve"> </v>
      </c>
      <c r="I26" s="170"/>
      <c r="J26" s="170"/>
      <c r="K26" s="6"/>
      <c r="L26" s="6"/>
      <c r="M26" s="169"/>
    </row>
    <row r="27" spans="1:29" ht="15.75" thickBot="1">
      <c r="A27" s="189"/>
      <c r="B27" s="6"/>
      <c r="C27" s="190"/>
      <c r="D27" s="191" t="s">
        <v>50</v>
      </c>
      <c r="E27" s="39" t="s">
        <v>51</v>
      </c>
      <c r="F27" s="40">
        <f>MIN(F25:F26)</f>
        <v>380.95425794217772</v>
      </c>
      <c r="G27" s="43" t="s">
        <v>32</v>
      </c>
      <c r="H27" s="192" t="str">
        <f>IF(F27&gt;=DesignFlow,"Q&gt;=Qdesign, OK","Q&lt;Qdesign, select larger structure")</f>
        <v>Q&gt;=Qdesign, OK</v>
      </c>
      <c r="I27" s="6"/>
      <c r="J27" s="170"/>
      <c r="K27" s="6"/>
      <c r="L27" s="6"/>
      <c r="M27" s="169"/>
    </row>
    <row r="28" spans="1:29">
      <c r="A28" s="193"/>
      <c r="B28" s="194"/>
      <c r="C28" s="194"/>
      <c r="D28" s="194"/>
      <c r="E28" s="194"/>
      <c r="F28" s="194"/>
      <c r="G28" s="194"/>
      <c r="H28" s="192" t="str">
        <f>IF(F27&gt;=DesignFlow,"","or increase U/S channel width")</f>
        <v/>
      </c>
      <c r="I28" s="194"/>
      <c r="J28" s="194"/>
      <c r="K28" s="6"/>
      <c r="L28" s="6"/>
      <c r="M28" s="169"/>
    </row>
    <row r="29" spans="1:29">
      <c r="A29" s="177" t="s">
        <v>88</v>
      </c>
      <c r="B29" s="194"/>
      <c r="C29" s="194"/>
      <c r="D29" s="194"/>
      <c r="E29" s="194"/>
      <c r="F29" s="194"/>
      <c r="G29" s="194"/>
      <c r="H29" s="194"/>
      <c r="I29" s="194"/>
      <c r="J29" s="194"/>
      <c r="K29" s="6"/>
      <c r="L29" s="6"/>
      <c r="M29" s="169"/>
    </row>
    <row r="30" spans="1:29" ht="18">
      <c r="A30" s="171" t="s">
        <v>167</v>
      </c>
      <c r="B30" s="170"/>
      <c r="C30" s="170"/>
      <c r="D30" s="170"/>
      <c r="E30" s="170"/>
      <c r="F30" s="170"/>
      <c r="G30" s="170"/>
      <c r="H30" s="170"/>
      <c r="I30" s="170"/>
      <c r="J30" s="170"/>
      <c r="K30" s="170"/>
      <c r="L30" s="170"/>
      <c r="M30" s="182"/>
      <c r="N30" s="13"/>
      <c r="O30" s="13"/>
      <c r="P30" s="13"/>
      <c r="Q30" s="13"/>
    </row>
    <row r="31" spans="1:29">
      <c r="A31" s="195" t="s">
        <v>55</v>
      </c>
      <c r="B31" s="196"/>
      <c r="C31" s="196"/>
      <c r="D31" s="196" t="s">
        <v>56</v>
      </c>
      <c r="E31" s="38"/>
      <c r="F31" s="38"/>
      <c r="G31" s="176"/>
      <c r="H31" s="176"/>
      <c r="I31" s="170"/>
      <c r="J31" s="38" t="s">
        <v>57</v>
      </c>
      <c r="K31" s="250" t="s">
        <v>58</v>
      </c>
      <c r="L31" s="251" t="s">
        <v>59</v>
      </c>
      <c r="M31" s="197" t="s">
        <v>60</v>
      </c>
      <c r="N31" s="13"/>
      <c r="O31" s="13"/>
      <c r="P31" s="13"/>
      <c r="Q31" s="13"/>
    </row>
    <row r="32" spans="1:29">
      <c r="A32" s="198" t="s">
        <v>61</v>
      </c>
      <c r="B32" s="199" t="s">
        <v>62</v>
      </c>
      <c r="C32" s="199" t="s">
        <v>63</v>
      </c>
      <c r="D32" s="200" t="s">
        <v>64</v>
      </c>
      <c r="E32" s="201"/>
      <c r="F32" s="202" t="s">
        <v>65</v>
      </c>
      <c r="G32" s="38"/>
      <c r="H32" s="38"/>
      <c r="I32" s="170"/>
      <c r="J32" s="38" t="s">
        <v>66</v>
      </c>
      <c r="K32" s="250"/>
      <c r="L32" s="251"/>
      <c r="M32" s="197" t="s">
        <v>62</v>
      </c>
      <c r="N32" s="13"/>
      <c r="O32" s="13"/>
      <c r="P32" s="13"/>
      <c r="Q32" s="13"/>
    </row>
    <row r="33" spans="1:18">
      <c r="A33" s="198" t="s">
        <v>67</v>
      </c>
      <c r="B33" s="199" t="s">
        <v>68</v>
      </c>
      <c r="C33" s="199" t="s">
        <v>68</v>
      </c>
      <c r="D33" s="200" t="s">
        <v>69</v>
      </c>
      <c r="E33" s="201"/>
      <c r="F33" s="202" t="s">
        <v>70</v>
      </c>
      <c r="G33" s="38"/>
      <c r="H33" s="38"/>
      <c r="I33" s="170"/>
      <c r="J33" s="38" t="s">
        <v>71</v>
      </c>
      <c r="K33" s="250"/>
      <c r="L33" s="251"/>
      <c r="M33" s="197" t="s">
        <v>72</v>
      </c>
      <c r="N33" s="13"/>
      <c r="O33" s="13" t="str">
        <f>IF(DesignFlowSubmerged&lt;D36,M36,(IF(DesignFlowSubmerged&lt;D37,(M36+(DesignFlowSubmerged-D36)*(M37-M36)/(D37-D36)),"")))</f>
        <v/>
      </c>
      <c r="P33" s="13"/>
      <c r="Q33" s="13"/>
    </row>
    <row r="34" spans="1:18">
      <c r="A34" s="198" t="s">
        <v>73</v>
      </c>
      <c r="B34" s="199" t="s">
        <v>74</v>
      </c>
      <c r="C34" s="199" t="s">
        <v>74</v>
      </c>
      <c r="D34" s="200" t="s">
        <v>75</v>
      </c>
      <c r="E34" s="30" t="s">
        <v>76</v>
      </c>
      <c r="F34" s="202" t="s">
        <v>73</v>
      </c>
      <c r="G34" s="38"/>
      <c r="H34" s="203"/>
      <c r="I34" s="38" t="s">
        <v>71</v>
      </c>
      <c r="J34" s="38" t="s">
        <v>74</v>
      </c>
      <c r="K34" s="250"/>
      <c r="L34" s="251"/>
      <c r="M34" s="204" t="s">
        <v>77</v>
      </c>
      <c r="N34" s="13"/>
      <c r="O34" s="13"/>
      <c r="Q34" s="14"/>
      <c r="R34" s="14" t="s">
        <v>79</v>
      </c>
    </row>
    <row r="35" spans="1:18" ht="18" customHeight="1" thickBot="1">
      <c r="A35" s="211" t="s">
        <v>169</v>
      </c>
      <c r="B35" s="212" t="s">
        <v>171</v>
      </c>
      <c r="C35" s="213" t="s">
        <v>172</v>
      </c>
      <c r="D35" s="214" t="s">
        <v>81</v>
      </c>
      <c r="E35" s="209" t="s">
        <v>168</v>
      </c>
      <c r="F35" s="215" t="s">
        <v>179</v>
      </c>
      <c r="G35" s="212" t="s">
        <v>173</v>
      </c>
      <c r="H35" s="212" t="s">
        <v>174</v>
      </c>
      <c r="I35" s="212" t="s">
        <v>175</v>
      </c>
      <c r="J35" s="216" t="s">
        <v>176</v>
      </c>
      <c r="K35" s="217" t="s">
        <v>170</v>
      </c>
      <c r="L35" s="212" t="s">
        <v>78</v>
      </c>
      <c r="M35" s="210" t="s">
        <v>177</v>
      </c>
      <c r="N35" s="13"/>
      <c r="O35" s="13"/>
      <c r="Q35" s="13"/>
      <c r="R35" s="13">
        <f>IF(DesignFlowSubmerged&lt;D36,M36,0)</f>
        <v>0</v>
      </c>
    </row>
    <row r="36" spans="1:18" ht="15.75" thickTop="1">
      <c r="A36" s="205">
        <f>H/5</f>
        <v>0.56799999999999995</v>
      </c>
      <c r="B36" s="20">
        <f>Cw*L*A36^1.5</f>
        <v>39.310344814924271</v>
      </c>
      <c r="C36" s="20">
        <f>Chw*W*(A36-Htwo)^1.5</f>
        <v>148.63051081248108</v>
      </c>
      <c r="D36" s="32">
        <f t="shared" ref="D36:D40" si="6">MIN(B36,C36)</f>
        <v>39.310344814924271</v>
      </c>
      <c r="E36" s="33">
        <f>D36/(32.2^0.5*W^2.5)</f>
        <v>1.3887555332787131E-2</v>
      </c>
      <c r="F36" s="17">
        <v>0</v>
      </c>
      <c r="G36" s="19">
        <f>F36/A36</f>
        <v>0</v>
      </c>
      <c r="H36" s="19">
        <f>IF($L$6&lt;=0.36,0.385063*G36^1.558346,IF(E36&lt;=0.2,IF(G36&lt;0.25,0,((G36-0.25)^2+0.5625)^0.5-0.75),0.486496*G36^1.374848))</f>
        <v>0</v>
      </c>
      <c r="I36" s="19">
        <f>H36*A36</f>
        <v>0</v>
      </c>
      <c r="J36" s="31">
        <f>I36+A36</f>
        <v>0.56799999999999995</v>
      </c>
      <c r="K36" s="206">
        <f>0.12*J36</f>
        <v>6.8159999999999984E-2</v>
      </c>
      <c r="L36" s="180">
        <f>MAX(K36,F$14)</f>
        <v>6.8159999999999984E-2</v>
      </c>
      <c r="M36" s="207">
        <f>J36+L36</f>
        <v>0.63615999999999995</v>
      </c>
      <c r="N36" s="13"/>
      <c r="O36" s="13"/>
      <c r="Q36" s="13"/>
      <c r="R36" s="13">
        <f>IF(AND(DesignFlowSubmerged&lt;D37,DesignFlowSubmerged&gt;=D36),ROUND((M36+(DesignFlowSubmerged-D36)*(M37-M36)/(D37-D36)),2),0)</f>
        <v>0</v>
      </c>
    </row>
    <row r="37" spans="1:18">
      <c r="A37" s="205">
        <f>A36*2</f>
        <v>1.1359999999999999</v>
      </c>
      <c r="B37" s="20">
        <f>Cw*L*A37^1.5</f>
        <v>111.18644555765755</v>
      </c>
      <c r="C37" s="20">
        <f>Chw*W*(A37-Htwo)^1.5</f>
        <v>225.90461666574501</v>
      </c>
      <c r="D37" s="32">
        <f t="shared" si="6"/>
        <v>111.18644555765755</v>
      </c>
      <c r="E37" s="33">
        <f>D37/(32.2^0.5*W^2.5)</f>
        <v>3.9279938199668719E-2</v>
      </c>
      <c r="F37" s="17">
        <v>0</v>
      </c>
      <c r="G37" s="19">
        <f>F37/A37</f>
        <v>0</v>
      </c>
      <c r="H37" s="19">
        <f>IF($L$6&lt;=0.36,0.385063*G37^1.558346,IF(E37&lt;=0.2,IF(G37&lt;0.25,0,((G37-0.25)^2+0.5625)^0.5-0.75),0.486496*G37^1.374848))</f>
        <v>0</v>
      </c>
      <c r="I37" s="19">
        <f>H37*A37</f>
        <v>0</v>
      </c>
      <c r="J37" s="31">
        <f>I37+A37</f>
        <v>1.1359999999999999</v>
      </c>
      <c r="K37" s="180">
        <f t="shared" ref="K37:K39" si="7">0.12*J37</f>
        <v>0.13631999999999997</v>
      </c>
      <c r="L37" s="180">
        <f t="shared" ref="L37:L40" si="8">MAX(K37,F$14)</f>
        <v>0.13631999999999997</v>
      </c>
      <c r="M37" s="207">
        <f t="shared" ref="M37:M39" si="9">J37+L37</f>
        <v>1.2723199999999999</v>
      </c>
      <c r="N37" s="18"/>
      <c r="O37" s="18"/>
      <c r="Q37" s="18"/>
      <c r="R37" s="13">
        <f>IF(AND(DesignFlowSubmerged&lt;D38,DesignFlowSubmerged&gt;=D37),ROUND((M37+(DesignFlowSubmerged-D37)*(M38-M37)/(D38-D37)),2),0)</f>
        <v>0</v>
      </c>
    </row>
    <row r="38" spans="1:18">
      <c r="A38" s="205">
        <f>3*A36</f>
        <v>1.7039999999999997</v>
      </c>
      <c r="B38" s="20">
        <f>Cw*L*A38^1.5</f>
        <v>204.26254344750177</v>
      </c>
      <c r="C38" s="20">
        <f>Chw*W*(A38-Htwo)^1.5</f>
        <v>313.26535405080756</v>
      </c>
      <c r="D38" s="32">
        <f t="shared" si="6"/>
        <v>204.26254344750177</v>
      </c>
      <c r="E38" s="33">
        <f>D38/(32.2^0.5*W^2.5)</f>
        <v>7.216185428793423E-2</v>
      </c>
      <c r="F38" s="17">
        <v>0.7</v>
      </c>
      <c r="G38" s="19">
        <f>F38/A38</f>
        <v>0.41079812206572774</v>
      </c>
      <c r="H38" s="19">
        <f>IF($L$6&lt;=0.36,0.385063*G38^1.558346,IF(E38&lt;=0.2,IF(G38&lt;0.25,0,((G38-0.25)^2+0.5625)^0.5-0.75),0.486496*G38^1.374848))</f>
        <v>1.7043698924555817E-2</v>
      </c>
      <c r="I38" s="19">
        <f>H38*A38</f>
        <v>2.9042462967443106E-2</v>
      </c>
      <c r="J38" s="31">
        <f>I38+A38</f>
        <v>1.7330424629674428</v>
      </c>
      <c r="K38" s="180">
        <f t="shared" si="7"/>
        <v>0.20796509555609313</v>
      </c>
      <c r="L38" s="180">
        <f t="shared" si="8"/>
        <v>0.20796509555609313</v>
      </c>
      <c r="M38" s="207">
        <f t="shared" si="9"/>
        <v>1.941007558523536</v>
      </c>
      <c r="N38" s="18"/>
      <c r="O38" s="18"/>
      <c r="Q38" s="18"/>
      <c r="R38" s="13">
        <f>IF(AND(DesignFlowSubmerged&lt;D39,DesignFlowSubmerged&gt;=D38),ROUND((M38+(DesignFlowSubmerged-D38)*(M39-M38)/(D39-D38)),2),0)</f>
        <v>0</v>
      </c>
    </row>
    <row r="39" spans="1:18">
      <c r="A39" s="205">
        <f>4*A36</f>
        <v>2.2719999999999998</v>
      </c>
      <c r="B39" s="20">
        <f>Cw*L*A39^1.5</f>
        <v>314.48275851939417</v>
      </c>
      <c r="C39" s="20">
        <f>Chw*W*(A39-Htwo)^1.5</f>
        <v>409.65911852304617</v>
      </c>
      <c r="D39" s="32">
        <f t="shared" si="6"/>
        <v>314.48275851939417</v>
      </c>
      <c r="E39" s="33">
        <f>D39/(32.2^0.5*W^2.5)</f>
        <v>0.11110044266229704</v>
      </c>
      <c r="F39" s="17">
        <v>1.2</v>
      </c>
      <c r="G39" s="19">
        <f>F39/A39</f>
        <v>0.52816901408450712</v>
      </c>
      <c r="H39" s="19">
        <f>IF($L$6&lt;=0.36,0.385063*G39^1.558346,IF(E39&lt;=0.2,IF(G39&lt;0.25,0,((G39-0.25)^2+0.5625)^0.5-0.75),0.486496*G39^1.374848))</f>
        <v>4.9923746613854902E-2</v>
      </c>
      <c r="I39" s="19">
        <f>H39*A39</f>
        <v>0.11342675230667833</v>
      </c>
      <c r="J39" s="31">
        <f>I39+A39</f>
        <v>2.3854267523066781</v>
      </c>
      <c r="K39" s="180">
        <f t="shared" si="7"/>
        <v>0.28625121027680134</v>
      </c>
      <c r="L39" s="180">
        <f t="shared" si="8"/>
        <v>0.28625121027680134</v>
      </c>
      <c r="M39" s="207">
        <f t="shared" si="9"/>
        <v>2.6716779625834794</v>
      </c>
      <c r="N39" s="18"/>
      <c r="O39" s="18"/>
      <c r="Q39" s="18"/>
      <c r="R39" s="13">
        <f>IF(AND(DesignFlowSubmerged&lt;D40,DesignFlowSubmerged&gt;=D39),ROUND((M39+(DesignFlowSubmerged-D39)*(M40-M39)/(D40-D39)),2),0)</f>
        <v>2.8</v>
      </c>
    </row>
    <row r="40" spans="1:18">
      <c r="A40" s="205">
        <f>5*A36</f>
        <v>2.84</v>
      </c>
      <c r="B40" s="20">
        <f>Cw*L*A40^1.5</f>
        <v>439.50301612563538</v>
      </c>
      <c r="C40" s="20">
        <f>Chw*W*(A40-Htwo)^1.5</f>
        <v>514.30714154487418</v>
      </c>
      <c r="D40" s="32">
        <f t="shared" si="6"/>
        <v>439.50301612563538</v>
      </c>
      <c r="E40" s="33">
        <f>D40/(32.2^0.5*W^2.5)</f>
        <v>0.15526758882700872</v>
      </c>
      <c r="F40" s="17">
        <v>1.4</v>
      </c>
      <c r="G40" s="19">
        <f>F40/A40</f>
        <v>0.49295774647887325</v>
      </c>
      <c r="H40" s="19">
        <f>IF($L$6&lt;=0.36,0.385063*G40^1.558346,IF(E40&lt;=0.2,IF(G40&lt;0.25,0,((G40-0.25)^2+0.5625)^0.5-0.75),0.486496*G40^1.374848))</f>
        <v>3.8370767199096822E-2</v>
      </c>
      <c r="I40" s="19">
        <f>H40*A40</f>
        <v>0.10897297884543497</v>
      </c>
      <c r="J40" s="31">
        <f>I40+A40</f>
        <v>2.9489729788454349</v>
      </c>
      <c r="K40" s="180">
        <f>0.12*J40</f>
        <v>0.3538767574614522</v>
      </c>
      <c r="L40" s="180">
        <f t="shared" si="8"/>
        <v>0.3538767574614522</v>
      </c>
      <c r="M40" s="207">
        <f>J40+L40</f>
        <v>3.3028497363068872</v>
      </c>
      <c r="N40" s="18"/>
      <c r="O40" s="18"/>
      <c r="R40" s="13">
        <f>SUM(R35:R39)</f>
        <v>2.8</v>
      </c>
    </row>
    <row r="41" spans="1:18">
      <c r="A41" s="208"/>
      <c r="B41" s="29"/>
      <c r="C41" s="29"/>
      <c r="D41" s="29"/>
      <c r="E41" s="29"/>
      <c r="F41" s="29"/>
      <c r="G41" s="29"/>
      <c r="H41" s="29"/>
      <c r="I41" s="29"/>
      <c r="J41" s="29"/>
      <c r="K41" s="36"/>
      <c r="L41" s="35" t="s">
        <v>182</v>
      </c>
      <c r="M41" s="227">
        <f>IF(R40=0,"Not Valid",MAX(R35:R39))</f>
        <v>2.8</v>
      </c>
    </row>
    <row r="42" spans="1:18">
      <c r="A42" s="168"/>
      <c r="B42" s="6"/>
      <c r="C42" s="6"/>
      <c r="D42" s="6"/>
      <c r="E42" s="6"/>
      <c r="F42" s="6"/>
      <c r="G42" s="6"/>
      <c r="H42" s="6"/>
      <c r="I42" s="6"/>
      <c r="J42" s="226" t="str">
        <f>IF(M41&gt;M42,"Select larger H, W, L or Wa","OK")</f>
        <v>OK</v>
      </c>
      <c r="K42" s="81"/>
      <c r="L42" s="147" t="s">
        <v>183</v>
      </c>
      <c r="M42" s="228">
        <f>H</f>
        <v>2.84</v>
      </c>
    </row>
    <row r="43" spans="1:18" ht="15" customHeight="1">
      <c r="A43" s="171" t="s">
        <v>180</v>
      </c>
      <c r="M43" s="167"/>
    </row>
    <row r="44" spans="1:18">
      <c r="A44" s="242" t="s">
        <v>80</v>
      </c>
      <c r="B44" s="243"/>
      <c r="C44" s="243"/>
      <c r="D44" s="243"/>
      <c r="E44" s="243"/>
      <c r="F44" s="243"/>
      <c r="G44" s="243"/>
      <c r="H44" s="243"/>
      <c r="I44" s="243"/>
      <c r="J44" s="243"/>
      <c r="K44" s="243"/>
      <c r="L44" s="243"/>
      <c r="M44" s="244"/>
    </row>
    <row r="45" spans="1:18" ht="15" customHeight="1">
      <c r="A45" s="236" t="s">
        <v>178</v>
      </c>
      <c r="B45" s="237"/>
      <c r="C45" s="237"/>
      <c r="D45" s="237"/>
      <c r="E45" s="237"/>
      <c r="F45" s="237"/>
      <c r="G45" s="237"/>
      <c r="H45" s="237"/>
      <c r="I45" s="237"/>
      <c r="J45" s="237"/>
      <c r="K45" s="237"/>
      <c r="L45" s="237"/>
      <c r="M45" s="238"/>
    </row>
    <row r="46" spans="1:18">
      <c r="A46" s="239"/>
      <c r="B46" s="240"/>
      <c r="C46" s="240"/>
      <c r="D46" s="240"/>
      <c r="E46" s="240"/>
      <c r="F46" s="240"/>
      <c r="G46" s="240"/>
      <c r="H46" s="240"/>
      <c r="I46" s="240"/>
      <c r="J46" s="240"/>
      <c r="K46" s="240"/>
      <c r="L46" s="240"/>
      <c r="M46" s="241"/>
      <c r="N46" s="16"/>
      <c r="O46" s="13"/>
      <c r="P46" s="13"/>
      <c r="Q46" s="13"/>
    </row>
    <row r="47" spans="1:18">
      <c r="N47" s="13"/>
      <c r="O47" s="13"/>
      <c r="P47" s="13"/>
      <c r="Q47" s="13"/>
    </row>
    <row r="48" spans="1:18">
      <c r="N48" s="13"/>
      <c r="O48" s="13"/>
      <c r="P48" s="13"/>
      <c r="Q48" s="13"/>
    </row>
    <row r="53" spans="1:10">
      <c r="A53" s="13"/>
      <c r="B53" s="13"/>
      <c r="C53" s="13"/>
      <c r="D53" s="13"/>
      <c r="E53" s="13"/>
      <c r="F53" s="20"/>
      <c r="G53" s="20"/>
      <c r="H53" s="13"/>
      <c r="I53" s="13"/>
      <c r="J53" s="13"/>
    </row>
  </sheetData>
  <sheetProtection sheet="1" objects="1" scenarios="1"/>
  <mergeCells count="9">
    <mergeCell ref="A45:M46"/>
    <mergeCell ref="A44:M44"/>
    <mergeCell ref="B19:M20"/>
    <mergeCell ref="H1:I1"/>
    <mergeCell ref="K1:L1"/>
    <mergeCell ref="H2:I2"/>
    <mergeCell ref="K2:L2"/>
    <mergeCell ref="K31:K34"/>
    <mergeCell ref="L31:L34"/>
  </mergeCells>
  <conditionalFormatting sqref="H27">
    <cfRule type="expression" dxfId="1" priority="8">
      <formula>#REF!&gt;=#REF!</formula>
    </cfRule>
  </conditionalFormatting>
  <conditionalFormatting sqref="H28">
    <cfRule type="expression" dxfId="0" priority="1">
      <formula>#REF!&gt;=#REF!</formula>
    </cfRule>
  </conditionalFormatting>
  <dataValidations count="6">
    <dataValidation type="decimal" allowBlank="1" showInputMessage="1" showErrorMessage="1" sqref="F12">
      <formula1>L14</formula1>
      <formula2>I13</formula2>
    </dataValidation>
    <dataValidation type="list" errorStyle="information" allowBlank="1" showInputMessage="1" showErrorMessage="1" error="H is not a standard size for corrugated aluminum with selected drop D." sqref="F10">
      <formula1>$O$17:$O$18</formula1>
    </dataValidation>
    <dataValidation type="list" errorStyle="information" allowBlank="1" showInputMessage="1" showErrorMessage="1" error="Berm width entered is not standard for structure size selected." sqref="F11">
      <formula1>$O$20:$O$23</formula1>
    </dataValidation>
    <dataValidation type="list" errorStyle="information" allowBlank="1" showInputMessage="1" showErrorMessage="1" error="Weir length selected is not a standard manufactured length for corrugated aluminum." sqref="F8">
      <formula1>$O$4:$O$14</formula1>
    </dataValidation>
    <dataValidation type="list" errorStyle="information" allowBlank="1" showInputMessage="1" showErrorMessage="1" error="Not a standard size for aluminum structure" sqref="F7">
      <formula1>$T$3:$AA$3</formula1>
    </dataValidation>
    <dataValidation type="list" errorStyle="information" allowBlank="1" showInputMessage="1" showErrorMessage="1" error="Not a standard manufactured size for corrugated aluminum structure" sqref="F6">
      <formula1>$U$16:$Y$16</formula1>
    </dataValidation>
  </dataValidations>
  <pageMargins left="0.7" right="0.65" top="0.7" bottom="0.46" header="0.3" footer="0.3"/>
  <pageSetup scale="96" fitToHeight="0" orientation="portrait" r:id="rId1"/>
  <headerFooter>
    <oddHeader>&amp;C&amp;F&amp;RPage &amp;P of &amp;N</oddHeader>
  </headerFooter>
  <rowBreaks count="1" manualBreakCount="1">
    <brk id="46" max="12" man="1"/>
  </rowBreaks>
  <drawing r:id="rId2"/>
  <legacyDrawing r:id="rId3"/>
</worksheet>
</file>

<file path=xl/worksheets/sheet2.xml><?xml version="1.0" encoding="utf-8"?>
<worksheet xmlns="http://schemas.openxmlformats.org/spreadsheetml/2006/main" xmlns:r="http://schemas.openxmlformats.org/officeDocument/2006/relationships">
  <dimension ref="J1"/>
  <sheetViews>
    <sheetView view="pageLayout" zoomScaleNormal="100" workbookViewId="0"/>
  </sheetViews>
  <sheetFormatPr defaultRowHeight="15"/>
  <cols>
    <col min="1" max="8" width="9.140625" style="76"/>
    <col min="9" max="9" width="7.28515625" style="76" customWidth="1"/>
    <col min="10" max="16384" width="9.140625" style="76"/>
  </cols>
  <sheetData>
    <row r="1" spans="10:10">
      <c r="J1" s="38" t="str">
        <f>Info!A1</f>
        <v>Semicircular_Drop_Structure.xlsx V1.03</v>
      </c>
    </row>
  </sheetData>
  <sheetProtection sheet="1" objects="1" scenarios="1"/>
  <pageMargins left="0.7" right="0.5" top="0.65" bottom="0.65" header="0.3" footer="0.3"/>
  <pageSetup orientation="portrait" r:id="rId1"/>
  <headerFooter>
    <oddFooter>&amp;CInstructions, Page &amp;P of &amp;N</oddFooter>
  </headerFooter>
  <drawing r:id="rId2"/>
</worksheet>
</file>

<file path=xl/worksheets/sheet3.xml><?xml version="1.0" encoding="utf-8"?>
<worksheet xmlns="http://schemas.openxmlformats.org/spreadsheetml/2006/main" xmlns:r="http://schemas.openxmlformats.org/officeDocument/2006/relationships">
  <dimension ref="A1:Q51"/>
  <sheetViews>
    <sheetView view="pageLayout" zoomScaleNormal="100" workbookViewId="0">
      <selection activeCell="Q34" sqref="Q34"/>
    </sheetView>
  </sheetViews>
  <sheetFormatPr defaultRowHeight="15"/>
  <cols>
    <col min="1" max="17" width="6.5703125" customWidth="1"/>
    <col min="18" max="20" width="5.28515625" customWidth="1"/>
  </cols>
  <sheetData>
    <row r="1" spans="17:17" s="60" customFormat="1">
      <c r="Q1" s="117" t="str">
        <f>Info!A1</f>
        <v>Semicircular_Drop_Structure.xlsx V1.03</v>
      </c>
    </row>
    <row r="2" spans="17:17" s="60" customFormat="1"/>
    <row r="3" spans="17:17" s="60" customFormat="1"/>
    <row r="5" spans="17:17" s="60" customFormat="1"/>
    <row r="6" spans="17:17" s="60" customFormat="1"/>
    <row r="7" spans="17:17" s="60" customFormat="1"/>
    <row r="8" spans="17:17" s="60" customFormat="1"/>
    <row r="9" spans="17:17" s="60" customFormat="1"/>
    <row r="10" spans="17:17" s="60" customFormat="1"/>
    <row r="11" spans="17:17" s="60" customFormat="1"/>
    <row r="12" spans="17:17" s="60" customFormat="1"/>
    <row r="13" spans="17:17" s="60" customFormat="1"/>
    <row r="14" spans="17:17" s="60" customFormat="1"/>
    <row r="15" spans="17:17" s="60" customFormat="1"/>
    <row r="16" spans="17:17" s="60" customFormat="1"/>
    <row r="17" spans="10:10" s="60" customFormat="1"/>
    <row r="18" spans="10:10" s="60" customFormat="1"/>
    <row r="19" spans="10:10" s="60" customFormat="1"/>
    <row r="20" spans="10:10" s="60" customFormat="1"/>
    <row r="21" spans="10:10" s="60" customFormat="1"/>
    <row r="22" spans="10:10" s="60" customFormat="1"/>
    <row r="23" spans="10:10" s="60" customFormat="1"/>
    <row r="24" spans="10:10" s="60" customFormat="1"/>
    <row r="25" spans="10:10" s="60" customFormat="1"/>
    <row r="29" spans="10:10" s="60" customFormat="1" ht="20.25">
      <c r="J29" s="72" t="s">
        <v>99</v>
      </c>
    </row>
    <row r="30" spans="10:10" s="60" customFormat="1">
      <c r="J30" s="71" t="s">
        <v>100</v>
      </c>
    </row>
    <row r="31" spans="10:10" s="60" customFormat="1">
      <c r="J31" s="71" t="s">
        <v>101</v>
      </c>
    </row>
    <row r="32" spans="10:10" s="60" customFormat="1">
      <c r="J32" s="71" t="s">
        <v>102</v>
      </c>
    </row>
    <row r="34" spans="1:17">
      <c r="B34" s="76" t="s">
        <v>103</v>
      </c>
      <c r="Q34" s="117" t="str">
        <f>Info!A1</f>
        <v>Semicircular_Drop_Structure.xlsx V1.03</v>
      </c>
    </row>
    <row r="35" spans="1:17">
      <c r="B35" s="254" t="s">
        <v>0</v>
      </c>
      <c r="C35" s="255"/>
      <c r="D35" s="255"/>
      <c r="E35" s="255"/>
      <c r="F35" s="255"/>
      <c r="G35" s="255"/>
      <c r="H35" s="255"/>
      <c r="I35" s="255"/>
      <c r="J35" s="255"/>
      <c r="K35" s="255"/>
      <c r="L35" s="255"/>
      <c r="M35" s="255"/>
      <c r="N35" s="255"/>
      <c r="O35" s="255"/>
      <c r="P35" s="255"/>
      <c r="Q35" s="256"/>
    </row>
    <row r="36" spans="1:17">
      <c r="A36" s="83" t="s">
        <v>1</v>
      </c>
      <c r="B36" s="81">
        <v>0</v>
      </c>
      <c r="C36" s="141">
        <v>0.1</v>
      </c>
      <c r="D36" s="141">
        <v>0.2</v>
      </c>
      <c r="E36" s="141">
        <v>0.3</v>
      </c>
      <c r="F36" s="141">
        <v>0.4</v>
      </c>
      <c r="G36" s="141">
        <v>0.5</v>
      </c>
      <c r="H36" s="141">
        <v>0.6</v>
      </c>
      <c r="I36" s="141">
        <v>0.7</v>
      </c>
      <c r="J36" s="141">
        <v>0.8</v>
      </c>
      <c r="K36" s="141">
        <v>0.9</v>
      </c>
      <c r="L36" s="141">
        <v>1</v>
      </c>
      <c r="M36" s="141">
        <v>1.1000000000000001</v>
      </c>
      <c r="N36" s="141">
        <v>1.2</v>
      </c>
      <c r="O36" s="141">
        <v>1.3</v>
      </c>
      <c r="P36" s="141">
        <v>1.4</v>
      </c>
      <c r="Q36" s="82">
        <v>1.5</v>
      </c>
    </row>
    <row r="37" spans="1:17">
      <c r="A37" s="46">
        <v>0</v>
      </c>
      <c r="B37" s="62">
        <f>FORECAST(B$36,$G$45:$G$46,$F$45:$F$46)</f>
        <v>0</v>
      </c>
      <c r="C37" s="63">
        <f t="shared" ref="B37:M38" si="0">FORECAST(C$36,$G$45:$G$46,$F$45:$F$46)</f>
        <v>3.888888888888889E-2</v>
      </c>
      <c r="D37" s="63">
        <f t="shared" si="0"/>
        <v>7.7777777777777779E-2</v>
      </c>
      <c r="E37" s="63">
        <f t="shared" si="0"/>
        <v>0.11666666666666664</v>
      </c>
      <c r="F37" s="63">
        <f t="shared" si="0"/>
        <v>0.15555555555555556</v>
      </c>
      <c r="G37" s="63">
        <f t="shared" si="0"/>
        <v>0.19444444444444442</v>
      </c>
      <c r="H37" s="63">
        <f t="shared" si="0"/>
        <v>0.23333333333333328</v>
      </c>
      <c r="I37" s="63">
        <f t="shared" si="0"/>
        <v>0.27222222222222214</v>
      </c>
      <c r="J37" s="63">
        <f t="shared" si="0"/>
        <v>0.31111111111111112</v>
      </c>
      <c r="K37" s="63">
        <f t="shared" si="0"/>
        <v>0.35</v>
      </c>
      <c r="L37" s="63">
        <f t="shared" si="0"/>
        <v>0.38888888888888884</v>
      </c>
      <c r="M37" s="63">
        <f t="shared" si="0"/>
        <v>0.42777777777777776</v>
      </c>
      <c r="N37" s="63">
        <v>0.45800000000000002</v>
      </c>
      <c r="O37" s="63">
        <v>0.47899999999999998</v>
      </c>
      <c r="P37" s="63">
        <v>0.49199999999999999</v>
      </c>
      <c r="Q37" s="64">
        <v>0.5</v>
      </c>
    </row>
    <row r="38" spans="1:17">
      <c r="A38" s="48">
        <v>0.25</v>
      </c>
      <c r="B38" s="65">
        <f t="shared" si="0"/>
        <v>0</v>
      </c>
      <c r="C38" s="66">
        <f t="shared" si="0"/>
        <v>3.888888888888889E-2</v>
      </c>
      <c r="D38" s="66">
        <f t="shared" si="0"/>
        <v>7.7777777777777779E-2</v>
      </c>
      <c r="E38" s="66">
        <f t="shared" si="0"/>
        <v>0.11666666666666664</v>
      </c>
      <c r="F38" s="66">
        <f t="shared" si="0"/>
        <v>0.15555555555555556</v>
      </c>
      <c r="G38" s="66">
        <f t="shared" si="0"/>
        <v>0.19444444444444442</v>
      </c>
      <c r="H38" s="66">
        <f t="shared" si="0"/>
        <v>0.23333333333333328</v>
      </c>
      <c r="I38" s="66">
        <f t="shared" si="0"/>
        <v>0.27222222222222214</v>
      </c>
      <c r="J38" s="66">
        <f t="shared" si="0"/>
        <v>0.31111111111111112</v>
      </c>
      <c r="K38" s="66">
        <f t="shared" si="0"/>
        <v>0.35</v>
      </c>
      <c r="L38" s="66">
        <f t="shared" si="0"/>
        <v>0.38888888888888884</v>
      </c>
      <c r="M38" s="66">
        <f t="shared" si="0"/>
        <v>0.42777777777777776</v>
      </c>
      <c r="N38" s="66">
        <v>0.44800000000000001</v>
      </c>
      <c r="O38" s="66">
        <v>0.46</v>
      </c>
      <c r="P38" s="66">
        <v>0.47099999999999997</v>
      </c>
      <c r="Q38" s="67">
        <v>0.47599999999999998</v>
      </c>
    </row>
    <row r="39" spans="1:17">
      <c r="A39" s="48">
        <v>0.5</v>
      </c>
      <c r="B39" s="65">
        <f t="shared" ref="B39:L39" si="1">FORECAST(B$36,$G$45:$G$46,$F$45:$F$46)</f>
        <v>0</v>
      </c>
      <c r="C39" s="66">
        <f t="shared" si="1"/>
        <v>3.888888888888889E-2</v>
      </c>
      <c r="D39" s="66">
        <f t="shared" si="1"/>
        <v>7.7777777777777779E-2</v>
      </c>
      <c r="E39" s="66">
        <f t="shared" si="1"/>
        <v>0.11666666666666664</v>
      </c>
      <c r="F39" s="66">
        <f t="shared" si="1"/>
        <v>0.15555555555555556</v>
      </c>
      <c r="G39" s="66">
        <f t="shared" si="1"/>
        <v>0.19444444444444442</v>
      </c>
      <c r="H39" s="66">
        <f t="shared" si="1"/>
        <v>0.23333333333333328</v>
      </c>
      <c r="I39" s="66">
        <f t="shared" si="1"/>
        <v>0.27222222222222214</v>
      </c>
      <c r="J39" s="66">
        <f t="shared" si="1"/>
        <v>0.31111111111111112</v>
      </c>
      <c r="K39" s="66">
        <f t="shared" si="1"/>
        <v>0.35</v>
      </c>
      <c r="L39" s="66">
        <f t="shared" si="1"/>
        <v>0.38888888888888884</v>
      </c>
      <c r="M39" s="66">
        <v>0.41799999999999998</v>
      </c>
      <c r="N39" s="66">
        <v>0.42899999999999999</v>
      </c>
      <c r="O39" s="66">
        <v>0.439</v>
      </c>
      <c r="P39" s="66">
        <v>0.443</v>
      </c>
      <c r="Q39" s="67">
        <v>0.443</v>
      </c>
    </row>
    <row r="40" spans="1:17">
      <c r="A40" s="48">
        <v>0.75</v>
      </c>
      <c r="B40" s="65">
        <f t="shared" ref="B40:K41" si="2">FORECAST(B$36,$G$45:$G$46,$F$45:$F$46)</f>
        <v>0</v>
      </c>
      <c r="C40" s="66">
        <f t="shared" si="2"/>
        <v>3.888888888888889E-2</v>
      </c>
      <c r="D40" s="66">
        <f t="shared" si="2"/>
        <v>7.7777777777777779E-2</v>
      </c>
      <c r="E40" s="66">
        <f t="shared" si="2"/>
        <v>0.11666666666666664</v>
      </c>
      <c r="F40" s="66">
        <f t="shared" si="2"/>
        <v>0.15555555555555556</v>
      </c>
      <c r="G40" s="66">
        <f t="shared" si="2"/>
        <v>0.19444444444444442</v>
      </c>
      <c r="H40" s="66">
        <f t="shared" si="2"/>
        <v>0.23333333333333328</v>
      </c>
      <c r="I40" s="66">
        <f t="shared" si="2"/>
        <v>0.27222222222222214</v>
      </c>
      <c r="J40" s="66">
        <f t="shared" si="2"/>
        <v>0.31111111111111112</v>
      </c>
      <c r="K40" s="66">
        <f t="shared" si="2"/>
        <v>0.35</v>
      </c>
      <c r="L40" s="66">
        <v>0.38500000000000001</v>
      </c>
      <c r="M40" s="66">
        <v>0.4</v>
      </c>
      <c r="N40" s="66">
        <v>0.41</v>
      </c>
      <c r="O40" s="66">
        <v>0.41599999999999998</v>
      </c>
      <c r="P40" s="66">
        <v>0.41599999999999998</v>
      </c>
      <c r="Q40" s="67">
        <v>0.41599999999999998</v>
      </c>
    </row>
    <row r="41" spans="1:17">
      <c r="A41" s="47">
        <v>1</v>
      </c>
      <c r="B41" s="68">
        <f t="shared" si="2"/>
        <v>0</v>
      </c>
      <c r="C41" s="69">
        <f t="shared" si="2"/>
        <v>3.888888888888889E-2</v>
      </c>
      <c r="D41" s="69">
        <f t="shared" si="2"/>
        <v>7.7777777777777779E-2</v>
      </c>
      <c r="E41" s="69">
        <f t="shared" si="2"/>
        <v>0.11666666666666664</v>
      </c>
      <c r="F41" s="69">
        <f t="shared" si="2"/>
        <v>0.15555555555555556</v>
      </c>
      <c r="G41" s="69">
        <f t="shared" si="2"/>
        <v>0.19444444444444442</v>
      </c>
      <c r="H41" s="69">
        <f t="shared" si="2"/>
        <v>0.23333333333333328</v>
      </c>
      <c r="I41" s="69">
        <f t="shared" si="2"/>
        <v>0.27222222222222214</v>
      </c>
      <c r="J41" s="69">
        <f t="shared" si="2"/>
        <v>0.31111111111111112</v>
      </c>
      <c r="K41" s="69">
        <f t="shared" si="2"/>
        <v>0.35</v>
      </c>
      <c r="L41" s="69">
        <v>0.37</v>
      </c>
      <c r="M41" s="69">
        <v>0.38800000000000001</v>
      </c>
      <c r="N41" s="69">
        <v>0.39400000000000002</v>
      </c>
      <c r="O41" s="69">
        <v>0.4</v>
      </c>
      <c r="P41" s="69">
        <v>0.4</v>
      </c>
      <c r="Q41" s="70">
        <v>0.4</v>
      </c>
    </row>
    <row r="42" spans="1:17">
      <c r="D42" s="7"/>
    </row>
    <row r="43" spans="1:17">
      <c r="G43" s="58" t="s">
        <v>96</v>
      </c>
      <c r="J43" s="46" t="s">
        <v>92</v>
      </c>
      <c r="K43" s="255" t="s">
        <v>93</v>
      </c>
      <c r="L43" s="256"/>
      <c r="M43" s="254" t="s">
        <v>98</v>
      </c>
      <c r="N43" s="256"/>
    </row>
    <row r="44" spans="1:17">
      <c r="F44" s="59" t="s">
        <v>0</v>
      </c>
      <c r="G44" s="59" t="s">
        <v>6</v>
      </c>
      <c r="J44" s="48" t="s">
        <v>95</v>
      </c>
      <c r="K44" s="252" t="s">
        <v>94</v>
      </c>
      <c r="L44" s="253"/>
      <c r="M44" s="257" t="s">
        <v>94</v>
      </c>
      <c r="N44" s="258"/>
    </row>
    <row r="45" spans="1:17">
      <c r="A45" s="1"/>
      <c r="B45" s="1"/>
      <c r="F45" s="8">
        <v>0</v>
      </c>
      <c r="G45" s="8">
        <v>0</v>
      </c>
      <c r="I45" s="83" t="s">
        <v>1</v>
      </c>
      <c r="J45" s="53">
        <f>G50</f>
        <v>1.7092436974789915</v>
      </c>
      <c r="K45" s="45">
        <f>INT(J45*10)/10</f>
        <v>1.7</v>
      </c>
      <c r="L45" s="37">
        <f>K45+0.10001</f>
        <v>1.8000099999999999</v>
      </c>
      <c r="M45" s="83" t="s">
        <v>1</v>
      </c>
      <c r="N45" s="84" t="s">
        <v>6</v>
      </c>
    </row>
    <row r="46" spans="1:17" ht="15.75" thickBot="1">
      <c r="A46" s="11"/>
      <c r="B46" s="9"/>
      <c r="F46" s="8">
        <v>0.9</v>
      </c>
      <c r="G46" s="8">
        <v>0.35</v>
      </c>
      <c r="I46" s="55">
        <v>0</v>
      </c>
      <c r="J46" s="51">
        <f>FORECAST(G$50,K46:L46,K$45:L$45)</f>
        <v>0.5</v>
      </c>
      <c r="K46" s="50">
        <f>HLOOKUP(K45,$B$36:$Q$41,2)</f>
        <v>0.5</v>
      </c>
      <c r="L46" s="50">
        <f>HLOOKUP(L45,$B$36:$Q$41,2)</f>
        <v>0.5</v>
      </c>
      <c r="M46" s="81">
        <f>VLOOKUP(F50,I46:J50,1)</f>
        <v>0</v>
      </c>
      <c r="N46" s="82">
        <f>VLOOKUP(M46,I46:J50,2)</f>
        <v>0.5</v>
      </c>
    </row>
    <row r="47" spans="1:17" ht="15.75" thickBot="1">
      <c r="A47" s="13"/>
      <c r="B47" s="10"/>
      <c r="I47" s="56">
        <v>0.25</v>
      </c>
      <c r="J47" s="51">
        <f>FORECAST(G$50,K47:L47,K$45:L$45)</f>
        <v>0.47599999999999998</v>
      </c>
      <c r="K47" s="52">
        <f>HLOOKUP(K45,$B$36:$Q$41,3)</f>
        <v>0.47599999999999998</v>
      </c>
      <c r="L47" s="52">
        <f>HLOOKUP(L45,$B$36:$Q$41,3)</f>
        <v>0.47599999999999998</v>
      </c>
      <c r="M47" s="88">
        <f>IF(M46&lt;1,M46+0.25,1)</f>
        <v>0.25</v>
      </c>
      <c r="N47" s="45">
        <f>VLOOKUP(M47,I46:J50,2)</f>
        <v>0.47599999999999998</v>
      </c>
      <c r="P47" s="85" t="s">
        <v>5</v>
      </c>
      <c r="Q47" s="86">
        <f>FORECAST(F50,N46:N47,M46:M47)</f>
        <v>0.48080000000000001</v>
      </c>
    </row>
    <row r="48" spans="1:17">
      <c r="A48" s="13"/>
      <c r="B48" s="9"/>
      <c r="G48" s="61" t="s">
        <v>97</v>
      </c>
      <c r="I48" s="56">
        <v>0.5</v>
      </c>
      <c r="J48" s="51">
        <f>FORECAST(G$50,K48:L48,K$45:L$45)</f>
        <v>0.443</v>
      </c>
      <c r="K48" s="52">
        <f>HLOOKUP(K45,$B$36:$Q$41,4)</f>
        <v>0.443</v>
      </c>
      <c r="L48" s="52">
        <f>HLOOKUP(L45,$B$36:$Q$41,4)</f>
        <v>0.443</v>
      </c>
    </row>
    <row r="49" spans="1:12">
      <c r="A49" s="13"/>
      <c r="B49" s="9"/>
      <c r="F49" s="122" t="s">
        <v>1</v>
      </c>
      <c r="G49" s="84" t="s">
        <v>0</v>
      </c>
      <c r="I49" s="56">
        <v>0.75</v>
      </c>
      <c r="J49" s="51">
        <f>FORECAST(G$50,K49:L49,K$45:L$45)</f>
        <v>0.41599999999999998</v>
      </c>
      <c r="K49" s="52">
        <f>HLOOKUP(K45,$B$36:$Q$41,5)</f>
        <v>0.41599999999999998</v>
      </c>
      <c r="L49" s="52">
        <f>HLOOKUP(L45,$B$36:$Q$41,5)</f>
        <v>0.41599999999999998</v>
      </c>
    </row>
    <row r="50" spans="1:12">
      <c r="A50" s="13"/>
      <c r="B50" s="9"/>
      <c r="F50" s="130">
        <f>Design!L7</f>
        <v>0.19999999999999998</v>
      </c>
      <c r="G50" s="82">
        <f>Design!L8</f>
        <v>1.7092436974789915</v>
      </c>
      <c r="I50" s="57">
        <v>1</v>
      </c>
      <c r="J50" s="53">
        <f>FORECAST(G$50,K50:L50,K$45:L$45)</f>
        <v>0.4</v>
      </c>
      <c r="K50" s="54">
        <f>HLOOKUP(K45,$B$36:$Q$41,6)</f>
        <v>0.4</v>
      </c>
      <c r="L50" s="54">
        <f>HLOOKUP(L45,$B$36:$Q$41,6)</f>
        <v>0.4</v>
      </c>
    </row>
    <row r="51" spans="1:12">
      <c r="A51" s="13"/>
      <c r="B51" s="9"/>
    </row>
  </sheetData>
  <sheetProtection sheet="1" objects="1" scenarios="1"/>
  <mergeCells count="5">
    <mergeCell ref="K44:L44"/>
    <mergeCell ref="B35:Q35"/>
    <mergeCell ref="K43:L43"/>
    <mergeCell ref="M43:N43"/>
    <mergeCell ref="M44:N44"/>
  </mergeCells>
  <printOptions horizontalCentered="1" verticalCentered="1"/>
  <pageMargins left="0.7" right="0.7" top="0.75" bottom="0.75" header="0.3" footer="0.3"/>
  <pageSetup orientation="landscape" r:id="rId1"/>
  <rowBreaks count="1" manualBreakCount="1">
    <brk id="33" max="16383" man="1"/>
  </rowBreaks>
  <drawing r:id="rId2"/>
</worksheet>
</file>

<file path=xl/worksheets/sheet4.xml><?xml version="1.0" encoding="utf-8"?>
<worksheet xmlns="http://schemas.openxmlformats.org/spreadsheetml/2006/main" xmlns:r="http://schemas.openxmlformats.org/officeDocument/2006/relationships">
  <dimension ref="A1:T53"/>
  <sheetViews>
    <sheetView view="pageLayout" zoomScaleNormal="75" workbookViewId="0"/>
  </sheetViews>
  <sheetFormatPr defaultRowHeight="15"/>
  <cols>
    <col min="1" max="17" width="6.5703125" customWidth="1"/>
    <col min="18" max="20" width="5.28515625" customWidth="1"/>
  </cols>
  <sheetData>
    <row r="1" spans="17:17" s="73" customFormat="1">
      <c r="Q1" s="117" t="str">
        <f>Info!A1</f>
        <v>Semicircular_Drop_Structure.xlsx V1.03</v>
      </c>
    </row>
    <row r="2" spans="17:17" s="73" customFormat="1"/>
    <row r="3" spans="17:17" s="73" customFormat="1"/>
    <row r="4" spans="17:17" s="73" customFormat="1"/>
    <row r="5" spans="17:17" s="73" customFormat="1"/>
    <row r="6" spans="17:17" s="73" customFormat="1"/>
    <row r="7" spans="17:17" s="73" customFormat="1"/>
    <row r="8" spans="17:17" s="73" customFormat="1"/>
    <row r="9" spans="17:17" s="73" customFormat="1"/>
    <row r="10" spans="17:17" s="73" customFormat="1"/>
    <row r="11" spans="17:17" s="73" customFormat="1"/>
    <row r="12" spans="17:17" s="73" customFormat="1"/>
    <row r="13" spans="17:17" s="73" customFormat="1"/>
    <row r="14" spans="17:17" s="73" customFormat="1"/>
    <row r="15" spans="17:17" s="73" customFormat="1"/>
    <row r="16" spans="17:17" s="73" customFormat="1"/>
    <row r="17" spans="1:10" s="73" customFormat="1"/>
    <row r="18" spans="1:10" s="73" customFormat="1"/>
    <row r="19" spans="1:10" s="73" customFormat="1"/>
    <row r="20" spans="1:10" s="73" customFormat="1"/>
    <row r="21" spans="1:10" s="73" customFormat="1"/>
    <row r="22" spans="1:10" s="73" customFormat="1"/>
    <row r="25" spans="1:10">
      <c r="A25" s="1"/>
      <c r="B25" s="1"/>
    </row>
    <row r="26" spans="1:10">
      <c r="A26" s="8"/>
      <c r="B26" s="8"/>
    </row>
    <row r="27" spans="1:10" s="73" customFormat="1">
      <c r="A27" s="77"/>
      <c r="B27" s="77"/>
    </row>
    <row r="28" spans="1:10" s="73" customFormat="1" ht="20.25">
      <c r="A28" s="77"/>
      <c r="B28" s="77"/>
      <c r="J28" s="98" t="s">
        <v>107</v>
      </c>
    </row>
    <row r="29" spans="1:10" s="73" customFormat="1">
      <c r="A29" s="77"/>
      <c r="B29" s="77"/>
      <c r="J29" s="94"/>
    </row>
    <row r="30" spans="1:10" s="73" customFormat="1">
      <c r="A30" s="77"/>
      <c r="B30" s="77"/>
      <c r="J30" s="97" t="s">
        <v>100</v>
      </c>
    </row>
    <row r="31" spans="1:10" s="73" customFormat="1">
      <c r="A31" s="77"/>
      <c r="B31" s="77"/>
      <c r="J31" s="97" t="s">
        <v>101</v>
      </c>
    </row>
    <row r="32" spans="1:10" s="73" customFormat="1">
      <c r="A32" s="77"/>
      <c r="B32" s="77"/>
      <c r="J32" s="97" t="s">
        <v>102</v>
      </c>
    </row>
    <row r="33" spans="1:20" s="73" customFormat="1">
      <c r="A33" s="77"/>
      <c r="B33" s="77"/>
    </row>
    <row r="34" spans="1:20">
      <c r="A34" s="8"/>
      <c r="B34" s="8"/>
      <c r="Q34" s="117" t="str">
        <f>Info!A1</f>
        <v>Semicircular_Drop_Structure.xlsx V1.03</v>
      </c>
    </row>
    <row r="35" spans="1:20">
      <c r="C35" s="94" t="s">
        <v>104</v>
      </c>
      <c r="D35" s="94"/>
      <c r="E35" s="94"/>
      <c r="F35" s="94"/>
      <c r="G35" s="94"/>
      <c r="H35" s="94"/>
      <c r="I35" s="94"/>
      <c r="J35" s="94"/>
      <c r="K35" s="94"/>
      <c r="L35" s="94"/>
      <c r="M35" s="94"/>
      <c r="N35" s="94"/>
      <c r="O35" s="94"/>
      <c r="P35" s="94"/>
    </row>
    <row r="36" spans="1:20">
      <c r="C36" s="254" t="s">
        <v>7</v>
      </c>
      <c r="D36" s="255"/>
      <c r="E36" s="255"/>
      <c r="F36" s="255"/>
      <c r="G36" s="255"/>
      <c r="H36" s="255"/>
      <c r="I36" s="255"/>
      <c r="J36" s="255"/>
      <c r="K36" s="255"/>
      <c r="L36" s="255"/>
      <c r="M36" s="255"/>
      <c r="N36" s="255"/>
      <c r="O36" s="255"/>
      <c r="P36" s="256"/>
      <c r="S36" s="87"/>
      <c r="T36" s="87"/>
    </row>
    <row r="37" spans="1:20">
      <c r="B37" s="83" t="s">
        <v>1</v>
      </c>
      <c r="C37" s="157">
        <v>0</v>
      </c>
      <c r="D37" s="149">
        <v>0.05</v>
      </c>
      <c r="E37" s="149">
        <v>0.1</v>
      </c>
      <c r="F37" s="149">
        <v>0.15</v>
      </c>
      <c r="G37" s="149">
        <v>0.2</v>
      </c>
      <c r="H37" s="149">
        <v>0.25</v>
      </c>
      <c r="I37" s="149">
        <v>0.3</v>
      </c>
      <c r="J37" s="149">
        <v>0.35</v>
      </c>
      <c r="K37" s="149">
        <v>0.4</v>
      </c>
      <c r="L37" s="149">
        <v>0.45</v>
      </c>
      <c r="M37" s="149">
        <v>0.5</v>
      </c>
      <c r="N37" s="149">
        <v>0.55000000000000004</v>
      </c>
      <c r="O37" s="149">
        <v>0.6</v>
      </c>
      <c r="P37" s="137">
        <v>0.63</v>
      </c>
    </row>
    <row r="38" spans="1:20">
      <c r="B38" s="78">
        <v>0</v>
      </c>
      <c r="C38" s="100">
        <v>0.42299999999999999</v>
      </c>
      <c r="D38" s="101">
        <v>0.44</v>
      </c>
      <c r="E38" s="101">
        <v>0.45500000000000002</v>
      </c>
      <c r="F38" s="101">
        <v>0.46500000000000002</v>
      </c>
      <c r="G38" s="101">
        <v>0.48</v>
      </c>
      <c r="H38" s="101">
        <v>0.49</v>
      </c>
      <c r="I38" s="101">
        <v>0.5</v>
      </c>
      <c r="J38" s="101">
        <v>0.52</v>
      </c>
      <c r="K38" s="101">
        <v>0.53</v>
      </c>
      <c r="L38" s="101">
        <v>0.55000000000000004</v>
      </c>
      <c r="M38" s="101">
        <v>0.57299999999999995</v>
      </c>
      <c r="N38" s="101">
        <v>0.59499999999999997</v>
      </c>
      <c r="O38" s="101">
        <v>0.62</v>
      </c>
      <c r="P38" s="102">
        <v>0.63500000000000001</v>
      </c>
      <c r="S38" s="7"/>
      <c r="T38" s="7"/>
    </row>
    <row r="39" spans="1:20">
      <c r="B39" s="79">
        <v>0.25</v>
      </c>
      <c r="C39" s="103">
        <v>0.42299999999999999</v>
      </c>
      <c r="D39" s="104">
        <v>0.44</v>
      </c>
      <c r="E39" s="104">
        <v>0.45600000000000002</v>
      </c>
      <c r="F39" s="104">
        <v>0.47</v>
      </c>
      <c r="G39" s="104">
        <v>0.48599999999999999</v>
      </c>
      <c r="H39" s="104">
        <v>0.503</v>
      </c>
      <c r="I39" s="104">
        <v>0.53</v>
      </c>
      <c r="J39" s="104">
        <v>0.56000000000000005</v>
      </c>
      <c r="K39" s="104">
        <v>0.59</v>
      </c>
      <c r="L39" s="104">
        <v>0.63</v>
      </c>
      <c r="M39" s="104">
        <v>0.68</v>
      </c>
      <c r="N39" s="104">
        <v>0.73</v>
      </c>
      <c r="O39" s="104">
        <v>0.78800000000000003</v>
      </c>
      <c r="P39" s="105">
        <v>0.83</v>
      </c>
      <c r="S39" s="7"/>
      <c r="T39" s="7"/>
    </row>
    <row r="40" spans="1:20">
      <c r="B40" s="79">
        <v>0.5</v>
      </c>
      <c r="C40" s="103">
        <v>0.42299999999999999</v>
      </c>
      <c r="D40" s="104">
        <v>0.44</v>
      </c>
      <c r="E40" s="104">
        <v>0.45700000000000002</v>
      </c>
      <c r="F40" s="104">
        <v>0.47499999999999998</v>
      </c>
      <c r="G40" s="104">
        <v>0.49299999999999999</v>
      </c>
      <c r="H40" s="104">
        <v>0.51900000000000002</v>
      </c>
      <c r="I40" s="104">
        <v>0.54800000000000004</v>
      </c>
      <c r="J40" s="104">
        <v>0.58199999999999996</v>
      </c>
      <c r="K40" s="104">
        <v>0.625</v>
      </c>
      <c r="L40" s="104">
        <v>0.68300000000000005</v>
      </c>
      <c r="M40" s="104">
        <v>0.75</v>
      </c>
      <c r="N40" s="104">
        <v>0.82</v>
      </c>
      <c r="O40" s="104">
        <v>0.90200000000000002</v>
      </c>
      <c r="P40" s="105">
        <v>0.96499999999999997</v>
      </c>
      <c r="S40" s="7"/>
      <c r="T40" s="7"/>
    </row>
    <row r="41" spans="1:20">
      <c r="B41" s="80">
        <v>0.75</v>
      </c>
      <c r="C41" s="106">
        <v>0.42299999999999999</v>
      </c>
      <c r="D41" s="107">
        <v>0.44</v>
      </c>
      <c r="E41" s="107">
        <v>0.45800000000000002</v>
      </c>
      <c r="F41" s="107">
        <v>0.47899999999999998</v>
      </c>
      <c r="G41" s="107">
        <v>0.5</v>
      </c>
      <c r="H41" s="107">
        <v>0.53</v>
      </c>
      <c r="I41" s="107">
        <v>0.56000000000000005</v>
      </c>
      <c r="J41" s="107">
        <v>0.6</v>
      </c>
      <c r="K41" s="107"/>
      <c r="L41" s="107"/>
      <c r="M41" s="107"/>
      <c r="N41" s="107"/>
      <c r="O41" s="107"/>
      <c r="P41" s="108"/>
      <c r="S41" s="7"/>
      <c r="T41" s="7"/>
    </row>
    <row r="42" spans="1:20">
      <c r="C42" s="95"/>
      <c r="D42" s="94"/>
      <c r="E42" s="94"/>
      <c r="F42" s="99"/>
      <c r="G42" s="99"/>
      <c r="H42" s="99"/>
      <c r="I42" s="99"/>
      <c r="J42" s="99"/>
      <c r="K42" s="99"/>
      <c r="L42" s="99"/>
      <c r="M42" s="99"/>
      <c r="N42" s="99"/>
      <c r="O42" s="99"/>
      <c r="P42" s="99"/>
      <c r="Q42" s="7"/>
      <c r="R42" s="7"/>
      <c r="S42" s="7"/>
      <c r="T42" s="7"/>
    </row>
    <row r="43" spans="1:20">
      <c r="B43" s="73"/>
      <c r="C43" s="94"/>
      <c r="D43" s="94"/>
      <c r="E43" s="94"/>
      <c r="F43" s="94"/>
      <c r="G43" s="94"/>
      <c r="H43" s="46" t="s">
        <v>105</v>
      </c>
      <c r="I43" s="254" t="s">
        <v>93</v>
      </c>
      <c r="J43" s="256"/>
      <c r="K43" s="254" t="s">
        <v>98</v>
      </c>
      <c r="L43" s="256"/>
      <c r="M43" s="94"/>
      <c r="N43" s="94"/>
      <c r="O43" s="94"/>
      <c r="P43" s="94"/>
    </row>
    <row r="44" spans="1:20">
      <c r="B44" s="73"/>
      <c r="C44" s="94"/>
      <c r="D44" s="94"/>
      <c r="E44" s="94"/>
      <c r="F44" s="94"/>
      <c r="G44" s="94"/>
      <c r="H44" s="48" t="s">
        <v>106</v>
      </c>
      <c r="I44" s="261" t="s">
        <v>94</v>
      </c>
      <c r="J44" s="253"/>
      <c r="K44" s="259" t="s">
        <v>94</v>
      </c>
      <c r="L44" s="260"/>
      <c r="M44" s="94"/>
      <c r="N44" s="94"/>
      <c r="O44" s="94"/>
      <c r="P44" s="94"/>
    </row>
    <row r="45" spans="1:20">
      <c r="B45" s="73"/>
      <c r="C45" s="94"/>
      <c r="D45" s="94"/>
      <c r="E45" s="94"/>
      <c r="F45" s="94"/>
      <c r="G45" s="83" t="s">
        <v>1</v>
      </c>
      <c r="H45" s="92">
        <f>E48</f>
        <v>0.5</v>
      </c>
      <c r="I45" s="88">
        <f>HLOOKUP(H45,$C$37:$P$41,1)</f>
        <v>0.5</v>
      </c>
      <c r="J45" s="89">
        <f>I45+0.050001</f>
        <v>0.55000099999999996</v>
      </c>
      <c r="K45" s="83" t="s">
        <v>1</v>
      </c>
      <c r="L45" s="84" t="s">
        <v>8</v>
      </c>
      <c r="M45" s="94"/>
      <c r="N45" s="94"/>
      <c r="O45" s="94"/>
      <c r="P45" s="94"/>
    </row>
    <row r="46" spans="1:20" ht="15.75" thickBot="1">
      <c r="B46" s="37"/>
      <c r="C46" s="116"/>
      <c r="D46" s="116"/>
      <c r="E46" s="84" t="s">
        <v>97</v>
      </c>
      <c r="F46" s="94"/>
      <c r="G46" s="109">
        <v>0</v>
      </c>
      <c r="H46" s="161">
        <f>FORECAST(H45,I46:J46,I$45:J$45)</f>
        <v>0.57299999999999995</v>
      </c>
      <c r="I46" s="100">
        <f>HLOOKUP(I45,$C$37:$P$41,2)</f>
        <v>0.57299999999999995</v>
      </c>
      <c r="J46" s="124">
        <f>HLOOKUP(J45,$C$37:$P$41,2)</f>
        <v>0.59499999999999997</v>
      </c>
      <c r="K46" s="91">
        <f>VLOOKUP(D48,G46:H49,1)</f>
        <v>0</v>
      </c>
      <c r="L46" s="124">
        <f>VLOOKUP(K46,G46:H49,2)</f>
        <v>0.57299999999999995</v>
      </c>
      <c r="M46" s="94"/>
      <c r="N46" s="94"/>
      <c r="O46" s="94"/>
      <c r="P46" s="94"/>
    </row>
    <row r="47" spans="1:20" ht="15.75" thickBot="1">
      <c r="B47" s="74"/>
      <c r="C47" s="95"/>
      <c r="D47" s="83" t="s">
        <v>1</v>
      </c>
      <c r="E47" s="84" t="s">
        <v>7</v>
      </c>
      <c r="F47" s="94"/>
      <c r="G47" s="110">
        <v>0.25</v>
      </c>
      <c r="H47" s="161">
        <f>FORECAST(H45,I47:J47,I$45:J$45)</f>
        <v>0.68</v>
      </c>
      <c r="I47" s="103">
        <f>HLOOKUP(I45,$C$37:$P$41,3)</f>
        <v>0.68</v>
      </c>
      <c r="J47" s="126">
        <f>HLOOKUP(J45,$C$37:$P$41,3)</f>
        <v>0.73</v>
      </c>
      <c r="K47" s="81">
        <f>IF(K46&lt;0.75,K46+0.25,0.75)</f>
        <v>0.25</v>
      </c>
      <c r="L47" s="128">
        <f>VLOOKUP(K47,G46:H49,2)</f>
        <v>0.68</v>
      </c>
      <c r="M47" s="94"/>
      <c r="N47" s="93" t="s">
        <v>84</v>
      </c>
      <c r="O47" s="156">
        <f>IF(K47=K46,L46,FORECAST(D48,L46:L47,K46:K47))</f>
        <v>0.65860000000000007</v>
      </c>
      <c r="P47" s="94"/>
    </row>
    <row r="48" spans="1:20">
      <c r="B48" s="75"/>
      <c r="C48" s="94"/>
      <c r="D48" s="81">
        <f>Design!L7</f>
        <v>0.19999999999999998</v>
      </c>
      <c r="E48" s="82">
        <f>Design!L6</f>
        <v>0.5</v>
      </c>
      <c r="F48" s="94"/>
      <c r="G48" s="110">
        <v>0.5</v>
      </c>
      <c r="H48" s="161">
        <f>FORECAST(H45,I48:J48,I$45:J$45)</f>
        <v>0.75</v>
      </c>
      <c r="I48" s="103">
        <f>HLOOKUP(I45,$C$37:$P$41,4)</f>
        <v>0.75</v>
      </c>
      <c r="J48" s="126">
        <f>HLOOKUP(J45,$C$37:$P$41,4)</f>
        <v>0.82</v>
      </c>
      <c r="K48" s="94"/>
      <c r="L48" s="94"/>
      <c r="M48" s="94"/>
      <c r="N48" s="94"/>
      <c r="O48" s="94"/>
      <c r="P48" s="94"/>
    </row>
    <row r="49" spans="1:16">
      <c r="B49" s="73"/>
      <c r="C49" s="94"/>
      <c r="D49" s="94"/>
      <c r="E49" s="94"/>
      <c r="F49" s="94"/>
      <c r="G49" s="111">
        <v>0.75</v>
      </c>
      <c r="H49" s="92">
        <f>FORECAST(H45,I49:J49,I$45:J$45)</f>
        <v>0.6</v>
      </c>
      <c r="I49" s="106">
        <f>IF(H45&lt;0.35,HLOOKUP(I45,C37:P41,5),J41)</f>
        <v>0.6</v>
      </c>
      <c r="J49" s="128">
        <f>IF(H45&lt;0.35,HLOOKUP(J45,C37:P41,5),J41)</f>
        <v>0.6</v>
      </c>
      <c r="K49" s="94"/>
      <c r="L49" s="94"/>
      <c r="M49" s="94"/>
      <c r="N49" s="94"/>
      <c r="O49" s="94"/>
      <c r="P49" s="94"/>
    </row>
    <row r="50" spans="1:16">
      <c r="A50" s="13"/>
      <c r="B50" s="10"/>
      <c r="D50" s="1"/>
      <c r="E50" s="1"/>
      <c r="F50" s="1"/>
    </row>
    <row r="51" spans="1:16">
      <c r="A51" s="13"/>
      <c r="B51" s="10"/>
      <c r="D51" s="7"/>
      <c r="F51" s="12"/>
    </row>
    <row r="52" spans="1:16">
      <c r="A52" s="13"/>
      <c r="B52" s="10"/>
    </row>
    <row r="53" spans="1:16">
      <c r="A53" s="13"/>
      <c r="B53" s="10"/>
    </row>
  </sheetData>
  <sheetProtection sheet="1" objects="1" scenarios="1"/>
  <mergeCells count="5">
    <mergeCell ref="K43:L43"/>
    <mergeCell ref="K44:L44"/>
    <mergeCell ref="I43:J43"/>
    <mergeCell ref="I44:J44"/>
    <mergeCell ref="C36:P36"/>
  </mergeCells>
  <printOptions horizontalCentered="1" verticalCentered="1"/>
  <pageMargins left="0.95" right="0.7" top="1"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dimension ref="A1:R64"/>
  <sheetViews>
    <sheetView view="pageLayout" topLeftCell="B1" zoomScaleNormal="100" workbookViewId="0">
      <selection activeCell="C34" sqref="C34"/>
    </sheetView>
  </sheetViews>
  <sheetFormatPr defaultRowHeight="15"/>
  <cols>
    <col min="1" max="1" width="7.7109375" customWidth="1"/>
    <col min="2" max="15" width="7.28515625" customWidth="1"/>
    <col min="16" max="16" width="7.42578125" customWidth="1"/>
    <col min="17" max="20" width="5.7109375" customWidth="1"/>
  </cols>
  <sheetData>
    <row r="1" spans="15:15" s="94" customFormat="1">
      <c r="O1" s="117" t="str">
        <f>Info!A1</f>
        <v>Semicircular_Drop_Structure.xlsx V1.03</v>
      </c>
    </row>
    <row r="2" spans="15:15" s="94" customFormat="1"/>
    <row r="3" spans="15:15" s="94" customFormat="1"/>
    <row r="4" spans="15:15" s="94" customFormat="1"/>
    <row r="5" spans="15:15" s="94" customFormat="1"/>
    <row r="6" spans="15:15" s="94" customFormat="1"/>
    <row r="7" spans="15:15" s="94" customFormat="1"/>
    <row r="8" spans="15:15" s="94" customFormat="1"/>
    <row r="9" spans="15:15" s="94" customFormat="1"/>
    <row r="10" spans="15:15" s="94" customFormat="1"/>
    <row r="11" spans="15:15" s="94" customFormat="1"/>
    <row r="12" spans="15:15" s="94" customFormat="1"/>
    <row r="13" spans="15:15" s="94" customFormat="1"/>
    <row r="14" spans="15:15" s="94" customFormat="1"/>
    <row r="15" spans="15:15" s="94" customFormat="1"/>
    <row r="16" spans="15:15" s="94" customFormat="1"/>
    <row r="17" spans="3:8" s="94" customFormat="1"/>
    <row r="18" spans="3:8" s="94" customFormat="1"/>
    <row r="19" spans="3:8" s="94" customFormat="1"/>
    <row r="20" spans="3:8" s="94" customFormat="1"/>
    <row r="21" spans="3:8" s="94" customFormat="1"/>
    <row r="22" spans="3:8" s="94" customFormat="1"/>
    <row r="23" spans="3:8" s="94" customFormat="1"/>
    <row r="24" spans="3:8" s="94" customFormat="1"/>
    <row r="25" spans="3:8" s="94" customFormat="1"/>
    <row r="28" spans="3:8" s="94" customFormat="1" ht="20.25">
      <c r="H28" s="114" t="s">
        <v>108</v>
      </c>
    </row>
    <row r="29" spans="3:8" s="94" customFormat="1">
      <c r="H29" s="113" t="s">
        <v>100</v>
      </c>
    </row>
    <row r="30" spans="3:8" s="94" customFormat="1">
      <c r="H30" s="113" t="s">
        <v>101</v>
      </c>
    </row>
    <row r="31" spans="3:8" s="94" customFormat="1">
      <c r="H31" s="113" t="s">
        <v>102</v>
      </c>
    </row>
    <row r="32" spans="3:8" s="112" customFormat="1">
      <c r="C32" s="135" t="s">
        <v>109</v>
      </c>
    </row>
    <row r="33" spans="1:18" s="112" customFormat="1">
      <c r="C33" s="135" t="s">
        <v>110</v>
      </c>
    </row>
    <row r="34" spans="1:18" s="112" customFormat="1">
      <c r="C34" s="135" t="s">
        <v>193</v>
      </c>
    </row>
    <row r="35" spans="1:18" s="115" customFormat="1">
      <c r="B35" s="118"/>
      <c r="O35" s="117" t="str">
        <f>Info!A1</f>
        <v>Semicircular_Drop_Structure.xlsx V1.03</v>
      </c>
    </row>
    <row r="36" spans="1:18" ht="18">
      <c r="B36" s="135" t="s">
        <v>118</v>
      </c>
      <c r="F36" s="133" t="s">
        <v>117</v>
      </c>
    </row>
    <row r="37" spans="1:18">
      <c r="B37" s="254" t="s">
        <v>7</v>
      </c>
      <c r="C37" s="255"/>
      <c r="D37" s="255"/>
      <c r="E37" s="255"/>
      <c r="F37" s="255"/>
      <c r="G37" s="255"/>
      <c r="H37" s="255"/>
      <c r="I37" s="255"/>
      <c r="J37" s="255"/>
      <c r="K37" s="255"/>
      <c r="L37" s="255"/>
      <c r="M37" s="255"/>
      <c r="N37" s="255"/>
      <c r="O37" s="256"/>
      <c r="P37" s="87"/>
      <c r="Q37" s="87"/>
    </row>
    <row r="38" spans="1:18">
      <c r="A38" s="136" t="s">
        <v>1</v>
      </c>
      <c r="B38" s="141">
        <v>0</v>
      </c>
      <c r="C38" s="141">
        <v>0.05</v>
      </c>
      <c r="D38" s="141">
        <v>0.1</v>
      </c>
      <c r="E38" s="141">
        <v>0.15</v>
      </c>
      <c r="F38" s="141">
        <v>0.2</v>
      </c>
      <c r="G38" s="141">
        <v>0.25</v>
      </c>
      <c r="H38" s="141">
        <v>0.3</v>
      </c>
      <c r="I38" s="141">
        <v>0.35</v>
      </c>
      <c r="J38" s="141">
        <v>0.4</v>
      </c>
      <c r="K38" s="141">
        <v>0.45</v>
      </c>
      <c r="L38" s="141">
        <v>0.5</v>
      </c>
      <c r="M38" s="141">
        <v>0.55000000000000004</v>
      </c>
      <c r="N38" s="141">
        <v>0.6</v>
      </c>
      <c r="O38" s="82">
        <v>0.64</v>
      </c>
      <c r="P38" s="115"/>
      <c r="Q38" s="115"/>
    </row>
    <row r="39" spans="1:18">
      <c r="A39" s="50">
        <v>0</v>
      </c>
      <c r="B39" s="123">
        <v>0</v>
      </c>
      <c r="C39" s="123">
        <v>2.4E-2</v>
      </c>
      <c r="D39" s="123">
        <v>4.1000000000000002E-2</v>
      </c>
      <c r="E39" s="123">
        <v>5.1999999999999998E-2</v>
      </c>
      <c r="F39" s="123">
        <v>5.8999999999999997E-2</v>
      </c>
      <c r="G39" s="123">
        <v>6.4000000000000001E-2</v>
      </c>
      <c r="H39" s="123">
        <v>6.8000000000000005E-2</v>
      </c>
      <c r="I39" s="123">
        <v>7.0000000000000007E-2</v>
      </c>
      <c r="J39" s="123">
        <v>6.9000000000000006E-2</v>
      </c>
      <c r="K39" s="123">
        <v>6.5000000000000002E-2</v>
      </c>
      <c r="L39" s="123">
        <v>5.8999999999999997E-2</v>
      </c>
      <c r="M39" s="123">
        <v>5.0999999999999997E-2</v>
      </c>
      <c r="N39" s="123">
        <v>3.6999999999999998E-2</v>
      </c>
      <c r="O39" s="124">
        <v>2.4E-2</v>
      </c>
      <c r="P39" s="115"/>
      <c r="Q39" s="119"/>
      <c r="R39" s="115"/>
    </row>
    <row r="40" spans="1:18">
      <c r="A40" s="52">
        <v>0</v>
      </c>
      <c r="B40" s="125">
        <v>0</v>
      </c>
      <c r="C40" s="125">
        <v>3.5000000000000003E-2</v>
      </c>
      <c r="D40" s="125">
        <v>5.8000000000000003E-2</v>
      </c>
      <c r="E40" s="125">
        <v>7.1999999999999995E-2</v>
      </c>
      <c r="F40" s="125">
        <v>7.9000000000000001E-2</v>
      </c>
      <c r="G40" s="125">
        <v>8.5999999999999993E-2</v>
      </c>
      <c r="H40" s="125">
        <v>0.09</v>
      </c>
      <c r="I40" s="125">
        <v>9.0999999999999998E-2</v>
      </c>
      <c r="J40" s="125">
        <v>9.5000000000000001E-2</v>
      </c>
      <c r="K40" s="125">
        <v>8.6999999999999994E-2</v>
      </c>
      <c r="L40" s="125">
        <v>7.9000000000000001E-2</v>
      </c>
      <c r="M40" s="125">
        <v>6.8000000000000005E-2</v>
      </c>
      <c r="N40" s="125">
        <v>0.05</v>
      </c>
      <c r="O40" s="126">
        <v>2.9000000000000001E-2</v>
      </c>
      <c r="P40" s="119"/>
      <c r="Q40" s="119"/>
    </row>
    <row r="41" spans="1:18">
      <c r="A41" s="52">
        <v>0.25</v>
      </c>
      <c r="B41" s="125">
        <v>0</v>
      </c>
      <c r="C41" s="125">
        <v>4.5999999999999999E-2</v>
      </c>
      <c r="D41" s="125">
        <v>7.3999999999999996E-2</v>
      </c>
      <c r="E41" s="125">
        <v>9.2999999999999999E-2</v>
      </c>
      <c r="F41" s="125">
        <v>0.11700000000000001</v>
      </c>
      <c r="G41" s="125">
        <v>0.107</v>
      </c>
      <c r="H41" s="125">
        <v>0.121</v>
      </c>
      <c r="I41" s="125">
        <v>0.122</v>
      </c>
      <c r="J41" s="125">
        <v>0.121</v>
      </c>
      <c r="K41" s="125">
        <v>0.115</v>
      </c>
      <c r="L41" s="125">
        <v>0.106</v>
      </c>
      <c r="M41" s="125">
        <v>8.8999999999999996E-2</v>
      </c>
      <c r="N41" s="125">
        <v>6.6000000000000003E-2</v>
      </c>
      <c r="O41" s="126">
        <v>0.04</v>
      </c>
      <c r="P41" s="119"/>
      <c r="Q41" s="119"/>
    </row>
    <row r="42" spans="1:18">
      <c r="A42" s="52">
        <v>0.5</v>
      </c>
      <c r="B42" s="125">
        <v>0</v>
      </c>
      <c r="C42" s="125">
        <v>4.7E-2</v>
      </c>
      <c r="D42" s="125">
        <v>8.5999999999999993E-2</v>
      </c>
      <c r="E42" s="125">
        <v>0.11600000000000001</v>
      </c>
      <c r="F42" s="125">
        <v>0.13800000000000001</v>
      </c>
      <c r="G42" s="125">
        <v>0.155</v>
      </c>
      <c r="H42" s="125">
        <v>0.16400000000000001</v>
      </c>
      <c r="I42" s="125">
        <v>0.16800000000000001</v>
      </c>
      <c r="J42" s="125">
        <v>0.16600000000000001</v>
      </c>
      <c r="K42" s="125">
        <v>0.156</v>
      </c>
      <c r="L42" s="125">
        <v>0.13900000000000001</v>
      </c>
      <c r="M42" s="125">
        <v>0.114</v>
      </c>
      <c r="N42" s="125">
        <v>8.3000000000000004E-2</v>
      </c>
      <c r="O42" s="126">
        <v>0.05</v>
      </c>
      <c r="P42" s="119"/>
      <c r="Q42" s="119"/>
    </row>
    <row r="43" spans="1:18" s="115" customFormat="1">
      <c r="A43" s="160">
        <v>0.75</v>
      </c>
      <c r="B43" s="127">
        <v>0</v>
      </c>
      <c r="C43" s="127">
        <v>5.3999999999999999E-2</v>
      </c>
      <c r="D43" s="127">
        <v>0.1</v>
      </c>
      <c r="E43" s="127">
        <v>0.127</v>
      </c>
      <c r="F43" s="127">
        <v>0.153</v>
      </c>
      <c r="G43" s="127"/>
      <c r="H43" s="127"/>
      <c r="I43" s="127"/>
      <c r="J43" s="127"/>
      <c r="K43" s="127"/>
      <c r="L43" s="127"/>
      <c r="M43" s="127"/>
      <c r="N43" s="127"/>
      <c r="O43" s="128"/>
      <c r="P43" s="119"/>
      <c r="Q43" s="119"/>
    </row>
    <row r="44" spans="1:18" s="115" customFormat="1">
      <c r="A44" s="6"/>
      <c r="B44" s="125"/>
      <c r="C44" s="125"/>
      <c r="D44" s="125"/>
      <c r="E44" s="125"/>
      <c r="F44" s="125"/>
      <c r="G44" s="125"/>
      <c r="H44" s="125"/>
      <c r="I44" s="125"/>
      <c r="J44" s="125"/>
      <c r="K44" s="125"/>
      <c r="L44" s="125"/>
      <c r="M44" s="125"/>
      <c r="N44" s="125"/>
      <c r="O44" s="125"/>
      <c r="P44" s="119"/>
      <c r="Q44" s="119"/>
    </row>
    <row r="45" spans="1:18" s="115" customFormat="1">
      <c r="A45" s="119"/>
      <c r="B45" s="119"/>
      <c r="C45" s="119"/>
      <c r="D45" s="119"/>
      <c r="E45" s="119" t="s">
        <v>113</v>
      </c>
      <c r="F45" s="119"/>
      <c r="G45" s="119"/>
      <c r="H45" s="119"/>
      <c r="I45" s="133"/>
      <c r="J45" s="133" t="s">
        <v>114</v>
      </c>
      <c r="K45" s="133"/>
      <c r="L45" s="133"/>
      <c r="M45" s="133"/>
      <c r="N45" s="133"/>
      <c r="O45" s="119"/>
      <c r="Q45" s="119"/>
    </row>
    <row r="46" spans="1:18">
      <c r="A46" s="91"/>
      <c r="B46" s="166"/>
      <c r="C46" s="218" t="s">
        <v>97</v>
      </c>
      <c r="D46" s="133"/>
      <c r="E46" s="133"/>
      <c r="F46" s="138" t="s">
        <v>111</v>
      </c>
      <c r="G46" s="254" t="s">
        <v>93</v>
      </c>
      <c r="H46" s="256"/>
      <c r="I46" s="133"/>
      <c r="J46" s="133"/>
      <c r="K46" s="131" t="s">
        <v>111</v>
      </c>
      <c r="L46" s="254" t="s">
        <v>93</v>
      </c>
      <c r="M46" s="256"/>
      <c r="N46" s="133"/>
      <c r="O46" s="133"/>
      <c r="Q46" s="115"/>
    </row>
    <row r="47" spans="1:18">
      <c r="A47" s="219" t="s">
        <v>1</v>
      </c>
      <c r="B47" s="219" t="s">
        <v>0</v>
      </c>
      <c r="C47" s="219" t="s">
        <v>7</v>
      </c>
      <c r="D47" s="133"/>
      <c r="E47" s="133"/>
      <c r="F47" s="134" t="s">
        <v>112</v>
      </c>
      <c r="G47" s="264" t="s">
        <v>94</v>
      </c>
      <c r="H47" s="265"/>
      <c r="I47" s="133"/>
      <c r="J47" s="133"/>
      <c r="K47" s="134" t="s">
        <v>112</v>
      </c>
      <c r="L47" s="264" t="s">
        <v>94</v>
      </c>
      <c r="M47" s="265"/>
      <c r="N47" s="254" t="s">
        <v>98</v>
      </c>
      <c r="O47" s="256"/>
      <c r="Q47" s="115"/>
    </row>
    <row r="48" spans="1:18">
      <c r="A48" s="90">
        <f>Design!L7</f>
        <v>0.19999999999999998</v>
      </c>
      <c r="B48" s="90">
        <f>Design!L8</f>
        <v>1.7092436974789915</v>
      </c>
      <c r="C48" s="90">
        <f>Design!L6</f>
        <v>0.5</v>
      </c>
      <c r="D48" s="133"/>
      <c r="E48" s="133"/>
      <c r="F48" s="132" t="s">
        <v>106</v>
      </c>
      <c r="G48" s="257" t="s">
        <v>7</v>
      </c>
      <c r="H48" s="258"/>
      <c r="I48" s="133"/>
      <c r="J48" s="133"/>
      <c r="K48" s="132" t="s">
        <v>106</v>
      </c>
      <c r="L48" s="257" t="s">
        <v>7</v>
      </c>
      <c r="M48" s="258"/>
      <c r="N48" s="259" t="s">
        <v>94</v>
      </c>
      <c r="O48" s="260"/>
      <c r="Q48" s="115"/>
    </row>
    <row r="49" spans="1:17">
      <c r="A49" s="133"/>
      <c r="B49" s="133"/>
      <c r="C49" s="133"/>
      <c r="D49" s="133"/>
      <c r="E49" s="122" t="s">
        <v>0</v>
      </c>
      <c r="F49" s="92">
        <f>C48</f>
        <v>0.5</v>
      </c>
      <c r="G49" s="111">
        <f>HLOOKUP(F49,$B$38:$O$43,1)</f>
        <v>0.5</v>
      </c>
      <c r="H49" s="137">
        <f>G49+0.05001</f>
        <v>0.55001</v>
      </c>
      <c r="I49" s="133"/>
      <c r="J49" s="136" t="s">
        <v>1</v>
      </c>
      <c r="K49" s="51">
        <f>C48</f>
        <v>0.5</v>
      </c>
      <c r="L49" s="111">
        <f>HLOOKUP(K49,$B$38:$O$43,1)</f>
        <v>0.5</v>
      </c>
      <c r="M49" s="137">
        <f>L49+0.05001</f>
        <v>0.55001</v>
      </c>
      <c r="N49" s="121" t="s">
        <v>1</v>
      </c>
      <c r="O49" s="121" t="s">
        <v>111</v>
      </c>
      <c r="Q49" s="115"/>
    </row>
    <row r="50" spans="1:17">
      <c r="A50" s="133"/>
      <c r="B50" s="133"/>
      <c r="C50" s="133"/>
      <c r="D50" s="133"/>
      <c r="E50" s="90">
        <v>1.4</v>
      </c>
      <c r="F50" s="49">
        <f>FORECAST(F49,G50:H50,G$49:H$49)</f>
        <v>5.8999999999999997E-2</v>
      </c>
      <c r="G50" s="90">
        <f>HLOOKUP(G49,$B$38:$O$43,2)</f>
        <v>5.8999999999999997E-2</v>
      </c>
      <c r="H50" s="90">
        <f>HLOOKUP(H49,$B$38:$O$43,2)</f>
        <v>5.0999999999999997E-2</v>
      </c>
      <c r="I50" s="133"/>
      <c r="J50" s="90">
        <v>0</v>
      </c>
      <c r="K50" s="49">
        <f>F52</f>
        <v>7.4462184873949566E-2</v>
      </c>
      <c r="L50" s="125"/>
      <c r="M50" s="125"/>
      <c r="N50" s="90">
        <f>VLOOKUP(A48,J50:K53,1)</f>
        <v>0</v>
      </c>
      <c r="O50" s="90">
        <f>VLOOKUP(N50,J50:K53,2)</f>
        <v>7.4462184873949566E-2</v>
      </c>
      <c r="Q50" s="129"/>
    </row>
    <row r="51" spans="1:17">
      <c r="A51" s="133"/>
      <c r="B51" s="133"/>
      <c r="C51" s="133"/>
      <c r="D51" s="133"/>
      <c r="E51" s="90">
        <v>1.8</v>
      </c>
      <c r="F51" s="49">
        <f>FORECAST(F49,G51:H51,G$49:H$49)</f>
        <v>7.9000000000000001E-2</v>
      </c>
      <c r="G51" s="90">
        <f>HLOOKUP(G49,$B$38:$O$43,3)</f>
        <v>7.9000000000000001E-2</v>
      </c>
      <c r="H51" s="90">
        <f>HLOOKUP(H49,$B$38:$O$43,3)</f>
        <v>6.8000000000000005E-2</v>
      </c>
      <c r="I51" s="133"/>
      <c r="J51" s="90">
        <v>0.25</v>
      </c>
      <c r="K51" s="49">
        <f>FORECAST(K$49,L51:M51,L$49:M$49)</f>
        <v>0.10599999999999998</v>
      </c>
      <c r="L51" s="90">
        <f>HLOOKUP(L$49,$B$38:$O$43,4)</f>
        <v>0.106</v>
      </c>
      <c r="M51" s="120">
        <f>HLOOKUP(M$49,$B$38:$O$43,4)</f>
        <v>8.8999999999999996E-2</v>
      </c>
      <c r="N51" s="90">
        <f>IF(N50&lt;0.75,N50+0.25,0.75)</f>
        <v>0.25</v>
      </c>
      <c r="O51" s="90">
        <f>VLOOKUP(N51,J50:K53,2)</f>
        <v>0.10599999999999998</v>
      </c>
      <c r="Q51" s="115"/>
    </row>
    <row r="52" spans="1:17">
      <c r="A52" s="95"/>
      <c r="B52" s="133"/>
      <c r="C52" s="133"/>
      <c r="D52" s="133"/>
      <c r="E52" s="120">
        <f>B48</f>
        <v>1.7092436974789915</v>
      </c>
      <c r="F52" s="49">
        <f>IF(B48&lt;=E50,F50,IF(B48&gt;=E51,F51,FORECAST(B48,F50:F51,E50:E51)))</f>
        <v>7.4462184873949566E-2</v>
      </c>
      <c r="G52" s="6"/>
      <c r="H52" s="6"/>
      <c r="I52" s="133"/>
      <c r="J52" s="130">
        <v>0.5</v>
      </c>
      <c r="K52" s="53">
        <f>FORECAST(K$49,L52:M52,L$49:M$49)</f>
        <v>0.13899999999999996</v>
      </c>
      <c r="L52" s="130">
        <f>HLOOKUP(L$49,$B$38:$O$43,5)</f>
        <v>0.13900000000000001</v>
      </c>
      <c r="M52" s="130">
        <f>HLOOKUP(M$49,$B$38:$O$43,5)</f>
        <v>0.114</v>
      </c>
      <c r="N52" s="133"/>
      <c r="O52" s="133"/>
      <c r="Q52" s="115"/>
    </row>
    <row r="53" spans="1:17" s="158" customFormat="1">
      <c r="A53" s="95"/>
      <c r="E53" s="125"/>
      <c r="F53" s="139"/>
      <c r="G53" s="6"/>
      <c r="H53" s="6"/>
      <c r="J53" s="90">
        <v>0.75</v>
      </c>
      <c r="K53" s="53">
        <f>FORECAST(K$49,L53:M53,L$49:M$49)</f>
        <v>0</v>
      </c>
      <c r="L53" s="130">
        <f>HLOOKUP(L$49,$B$38:$O$43,6)</f>
        <v>0</v>
      </c>
      <c r="M53" s="130">
        <f>HLOOKUP(M$49,$B$38:$O$43,6)</f>
        <v>0</v>
      </c>
    </row>
    <row r="54" spans="1:17" s="115" customFormat="1" ht="15.75" thickBot="1">
      <c r="A54" s="133"/>
      <c r="B54" s="133"/>
      <c r="C54" s="133"/>
      <c r="D54" s="133"/>
      <c r="E54" s="133"/>
      <c r="F54" s="125"/>
      <c r="G54" s="139"/>
      <c r="H54" s="6"/>
      <c r="I54" s="125"/>
      <c r="J54" s="133"/>
      <c r="K54" s="133"/>
      <c r="L54" s="133"/>
      <c r="M54" s="133"/>
      <c r="N54" s="133"/>
      <c r="O54" s="133"/>
    </row>
    <row r="55" spans="1:17" ht="18.75" thickBot="1">
      <c r="A55" s="75"/>
      <c r="B55" s="133"/>
      <c r="C55" s="133"/>
      <c r="D55" s="133"/>
      <c r="E55" s="133"/>
      <c r="F55" s="133"/>
      <c r="G55" s="133"/>
      <c r="H55" s="133"/>
      <c r="I55" s="133"/>
      <c r="J55" s="133"/>
      <c r="K55" s="133"/>
      <c r="L55" s="262" t="s">
        <v>119</v>
      </c>
      <c r="M55" s="263"/>
      <c r="N55" s="156">
        <f>IF(N51=N50,O50*-1,FORECAST(A48,O50:O51,N50:N51)*-1)</f>
        <v>-9.9692436974789897E-2</v>
      </c>
      <c r="O55" s="133"/>
    </row>
    <row r="56" spans="1:17" s="115" customFormat="1">
      <c r="A56" s="6"/>
      <c r="B56" s="75"/>
      <c r="J56" s="6"/>
    </row>
    <row r="57" spans="1:17">
      <c r="A57" s="13"/>
      <c r="B57" s="10"/>
    </row>
    <row r="58" spans="1:17">
      <c r="A58" s="13"/>
      <c r="B58" s="10"/>
      <c r="D58" s="7"/>
      <c r="F58" s="12"/>
      <c r="L58" s="115"/>
      <c r="M58" s="115"/>
    </row>
    <row r="59" spans="1:17">
      <c r="A59" s="13"/>
      <c r="B59" s="10"/>
      <c r="L59" s="115"/>
      <c r="M59" s="115"/>
    </row>
    <row r="60" spans="1:17">
      <c r="A60" s="13"/>
      <c r="B60" s="10"/>
      <c r="L60" s="115"/>
      <c r="M60" s="115"/>
    </row>
    <row r="61" spans="1:17">
      <c r="L61" s="115"/>
      <c r="M61" s="129"/>
    </row>
    <row r="62" spans="1:17">
      <c r="L62" s="115"/>
      <c r="M62" s="129"/>
    </row>
    <row r="63" spans="1:17">
      <c r="L63" s="115"/>
      <c r="M63" s="115"/>
    </row>
    <row r="64" spans="1:17">
      <c r="L64" s="115"/>
      <c r="M64" s="115"/>
    </row>
  </sheetData>
  <sheetProtection sheet="1" objects="1" scenarios="1"/>
  <mergeCells count="10">
    <mergeCell ref="L55:M55"/>
    <mergeCell ref="B37:O37"/>
    <mergeCell ref="G46:H46"/>
    <mergeCell ref="G47:H47"/>
    <mergeCell ref="G48:H48"/>
    <mergeCell ref="L46:M46"/>
    <mergeCell ref="L47:M47"/>
    <mergeCell ref="N47:O47"/>
    <mergeCell ref="N48:O48"/>
    <mergeCell ref="L48:M48"/>
  </mergeCells>
  <printOptions horizontalCentered="1" verticalCentered="1"/>
  <pageMargins left="0.95" right="0.95"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dimension ref="A1:L46"/>
  <sheetViews>
    <sheetView view="pageLayout" zoomScale="75" zoomScaleNormal="100" zoomScalePageLayoutView="75" workbookViewId="0">
      <selection activeCell="H2" sqref="H2"/>
    </sheetView>
  </sheetViews>
  <sheetFormatPr defaultRowHeight="15"/>
  <cols>
    <col min="1" max="1" width="5" style="133" customWidth="1"/>
    <col min="2" max="2" width="7.28515625" style="133" customWidth="1"/>
    <col min="3" max="3" width="8.28515625" style="133" customWidth="1"/>
    <col min="4" max="4" width="3.7109375" style="133" customWidth="1"/>
    <col min="5" max="5" width="5.42578125" style="133" customWidth="1"/>
    <col min="6" max="6" width="7.7109375" style="133" customWidth="1"/>
    <col min="7" max="7" width="8.7109375" style="133" customWidth="1"/>
    <col min="8" max="8" width="9" style="133" customWidth="1"/>
    <col min="9" max="9" width="9.140625" style="133"/>
    <col min="10" max="10" width="7.7109375" style="133" customWidth="1"/>
    <col min="11" max="16384" width="9.140625" style="133"/>
  </cols>
  <sheetData>
    <row r="1" spans="1:12">
      <c r="A1" s="133" t="s">
        <v>120</v>
      </c>
      <c r="L1" s="117" t="str">
        <f>Info!A1</f>
        <v>Semicircular_Drop_Structure.xlsx V1.03</v>
      </c>
    </row>
    <row r="2" spans="1:12">
      <c r="J2" s="95"/>
      <c r="K2" s="95"/>
    </row>
    <row r="3" spans="1:12">
      <c r="A3" s="266" t="s">
        <v>121</v>
      </c>
      <c r="B3" s="266"/>
      <c r="C3" s="266"/>
      <c r="E3" s="266" t="s">
        <v>121</v>
      </c>
      <c r="F3" s="266"/>
      <c r="G3" s="266"/>
      <c r="I3" s="266" t="s">
        <v>122</v>
      </c>
      <c r="J3" s="266"/>
      <c r="K3" s="266"/>
      <c r="L3" s="266"/>
    </row>
    <row r="4" spans="1:12" ht="15.75" thickBot="1">
      <c r="A4" s="142" t="s">
        <v>2</v>
      </c>
      <c r="B4" s="142" t="s">
        <v>3</v>
      </c>
      <c r="C4" s="142" t="s">
        <v>4</v>
      </c>
      <c r="E4" s="142" t="s">
        <v>2</v>
      </c>
      <c r="F4" s="142" t="s">
        <v>3</v>
      </c>
      <c r="G4" s="142" t="s">
        <v>4</v>
      </c>
      <c r="I4" s="142" t="s">
        <v>123</v>
      </c>
      <c r="J4" s="142" t="s">
        <v>124</v>
      </c>
      <c r="K4" s="142" t="s">
        <v>125</v>
      </c>
      <c r="L4" s="142" t="s">
        <v>126</v>
      </c>
    </row>
    <row r="5" spans="1:12" ht="15.75" thickTop="1">
      <c r="A5" s="2">
        <v>7</v>
      </c>
      <c r="B5" s="3">
        <v>14.2</v>
      </c>
      <c r="C5" s="3">
        <f>(B5-PI()*$A$5/2-0.25)/2</f>
        <v>1.4772128562178617</v>
      </c>
      <c r="E5" s="2">
        <v>20</v>
      </c>
      <c r="F5" s="3">
        <v>33.4</v>
      </c>
      <c r="G5" s="3">
        <f>(F5-PI()*$E$5/2-0.25)/2</f>
        <v>0.86703673205103371</v>
      </c>
      <c r="I5" s="143">
        <v>1.9</v>
      </c>
      <c r="J5" s="144">
        <v>1.8</v>
      </c>
      <c r="K5" s="145">
        <v>7</v>
      </c>
      <c r="L5" s="145">
        <v>20</v>
      </c>
    </row>
    <row r="6" spans="1:12">
      <c r="A6" s="2"/>
      <c r="B6" s="3">
        <v>15.8</v>
      </c>
      <c r="C6" s="3">
        <f t="shared" ref="C6:C7" si="0">(B6-PI()*$A$5/2-0.25)/2</f>
        <v>2.2772128562178624</v>
      </c>
      <c r="E6" s="2"/>
      <c r="F6" s="3">
        <v>35</v>
      </c>
      <c r="G6" s="3">
        <f t="shared" ref="G6:G15" si="1">(F6-PI()*$E$5/2-0.25)/2</f>
        <v>1.6670367320510344</v>
      </c>
      <c r="I6" s="146">
        <v>3</v>
      </c>
      <c r="J6" s="96">
        <v>1.9</v>
      </c>
      <c r="K6" s="116">
        <v>7</v>
      </c>
      <c r="L6" s="116">
        <v>20</v>
      </c>
    </row>
    <row r="7" spans="1:12">
      <c r="A7" s="147"/>
      <c r="B7" s="148">
        <v>17.399999999999999</v>
      </c>
      <c r="C7" s="148">
        <f t="shared" si="0"/>
        <v>3.0772128562178613</v>
      </c>
      <c r="F7" s="133">
        <v>36.6</v>
      </c>
      <c r="G7" s="3">
        <f t="shared" si="1"/>
        <v>2.4670367320510351</v>
      </c>
      <c r="I7" s="146">
        <v>4</v>
      </c>
      <c r="J7" s="96">
        <v>2.1</v>
      </c>
      <c r="K7" s="116">
        <v>7</v>
      </c>
      <c r="L7" s="116">
        <v>20</v>
      </c>
    </row>
    <row r="8" spans="1:12">
      <c r="A8" s="133">
        <v>8</v>
      </c>
      <c r="B8" s="3">
        <v>14.2</v>
      </c>
      <c r="C8" s="3">
        <f>(B8-PI()*$A$8/2-0.25)/2</f>
        <v>0.69181469282041341</v>
      </c>
      <c r="F8" s="133">
        <v>38.299999999999997</v>
      </c>
      <c r="G8" s="3">
        <f t="shared" si="1"/>
        <v>3.317036732051033</v>
      </c>
      <c r="I8" s="3">
        <v>5</v>
      </c>
      <c r="J8" s="12">
        <v>2.23</v>
      </c>
      <c r="K8" s="133">
        <v>8</v>
      </c>
      <c r="L8" s="133">
        <v>16</v>
      </c>
    </row>
    <row r="9" spans="1:12">
      <c r="B9" s="3">
        <v>15.8</v>
      </c>
      <c r="C9" s="3">
        <f>(B9-PI()*$A$8/2-0.25)/2</f>
        <v>1.4918146928204141</v>
      </c>
      <c r="F9" s="133">
        <v>39.9</v>
      </c>
      <c r="G9" s="3">
        <f t="shared" si="1"/>
        <v>4.1170367320510337</v>
      </c>
      <c r="I9" s="148"/>
      <c r="J9" s="149">
        <v>3.04</v>
      </c>
      <c r="K9" s="141"/>
      <c r="L9" s="141"/>
    </row>
    <row r="10" spans="1:12">
      <c r="B10" s="3">
        <v>17.399999999999999</v>
      </c>
      <c r="C10" s="3">
        <f>(B10-PI()*$A$8/2-0.25)/2</f>
        <v>2.2918146928204131</v>
      </c>
      <c r="F10" s="133">
        <v>41.5</v>
      </c>
      <c r="G10" s="3">
        <f t="shared" si="1"/>
        <v>4.9170367320510344</v>
      </c>
      <c r="I10" s="3">
        <v>6</v>
      </c>
      <c r="J10" s="12">
        <v>2.04</v>
      </c>
      <c r="K10" s="133">
        <v>10</v>
      </c>
      <c r="L10" s="133">
        <v>16</v>
      </c>
    </row>
    <row r="11" spans="1:12">
      <c r="B11" s="3">
        <v>19</v>
      </c>
      <c r="C11" s="3">
        <f>(B11-PI()*$A$8/2-0.25)/2</f>
        <v>3.0918146928204138</v>
      </c>
      <c r="E11" s="3"/>
      <c r="F11" s="133">
        <v>43.1</v>
      </c>
      <c r="G11" s="3">
        <f t="shared" si="1"/>
        <v>5.7170367320510351</v>
      </c>
      <c r="I11" s="148"/>
      <c r="J11" s="149">
        <v>2.84</v>
      </c>
      <c r="K11" s="141"/>
      <c r="L11" s="141"/>
    </row>
    <row r="12" spans="1:12">
      <c r="A12" s="141"/>
      <c r="B12" s="148">
        <v>20.6</v>
      </c>
      <c r="C12" s="148">
        <f>(B12-PI()*$A$8/2-0.25)/2</f>
        <v>3.8918146928204145</v>
      </c>
      <c r="E12" s="3"/>
      <c r="F12" s="133">
        <v>44.7</v>
      </c>
      <c r="G12" s="3">
        <f t="shared" si="1"/>
        <v>6.5170367320510358</v>
      </c>
    </row>
    <row r="13" spans="1:12">
      <c r="A13" s="133">
        <v>10</v>
      </c>
      <c r="B13" s="3">
        <v>17.399999999999999</v>
      </c>
      <c r="C13" s="3">
        <f>(B13-PI()*$A$13/2-0.25)/2</f>
        <v>0.7210183660255165</v>
      </c>
      <c r="E13" s="3"/>
      <c r="F13" s="133">
        <v>46.3</v>
      </c>
      <c r="G13" s="3">
        <f t="shared" si="1"/>
        <v>7.317036732051033</v>
      </c>
      <c r="I13" s="267" t="s">
        <v>127</v>
      </c>
      <c r="J13" s="267"/>
      <c r="K13" s="267"/>
      <c r="L13" s="267"/>
    </row>
    <row r="14" spans="1:12">
      <c r="B14" s="3">
        <v>19</v>
      </c>
      <c r="C14" s="3">
        <f t="shared" ref="C14:C18" si="2">(B14-PI()*$A$13/2-0.25)/2</f>
        <v>1.5210183660255172</v>
      </c>
      <c r="E14" s="3"/>
      <c r="F14" s="133">
        <v>47.9</v>
      </c>
      <c r="G14" s="3">
        <f t="shared" si="1"/>
        <v>8.1170367320510337</v>
      </c>
      <c r="I14" s="267"/>
      <c r="J14" s="267"/>
      <c r="K14" s="267"/>
      <c r="L14" s="267"/>
    </row>
    <row r="15" spans="1:12">
      <c r="B15" s="3">
        <v>20.6</v>
      </c>
      <c r="C15" s="3">
        <f t="shared" si="2"/>
        <v>2.3210183660255179</v>
      </c>
      <c r="E15" s="150"/>
      <c r="F15" s="141">
        <v>49.5</v>
      </c>
      <c r="G15" s="148">
        <f t="shared" si="1"/>
        <v>8.9170367320510344</v>
      </c>
      <c r="I15" s="267"/>
      <c r="J15" s="267"/>
      <c r="K15" s="267"/>
      <c r="L15" s="267"/>
    </row>
    <row r="16" spans="1:12">
      <c r="B16" s="3">
        <v>22.2</v>
      </c>
      <c r="C16" s="3">
        <f t="shared" si="2"/>
        <v>3.1210183660255169</v>
      </c>
      <c r="E16" s="151"/>
    </row>
    <row r="17" spans="1:10" ht="15" customHeight="1">
      <c r="B17" s="75">
        <v>23.8</v>
      </c>
      <c r="C17" s="75">
        <f t="shared" si="2"/>
        <v>3.9210183660255176</v>
      </c>
      <c r="E17" s="42" t="s">
        <v>165</v>
      </c>
      <c r="G17" s="152"/>
      <c r="H17" s="152"/>
      <c r="I17" s="152"/>
      <c r="J17" s="152"/>
    </row>
    <row r="18" spans="1:10">
      <c r="A18" s="141"/>
      <c r="B18" s="148">
        <v>25.4</v>
      </c>
      <c r="C18" s="148">
        <f t="shared" si="2"/>
        <v>4.7210183660255165</v>
      </c>
      <c r="D18" s="42" t="s">
        <v>128</v>
      </c>
      <c r="E18" s="152"/>
      <c r="F18" s="152"/>
      <c r="G18" s="152"/>
      <c r="H18" s="152"/>
      <c r="I18" s="152"/>
      <c r="J18" s="152"/>
    </row>
    <row r="19" spans="1:10">
      <c r="A19" s="133">
        <v>12</v>
      </c>
      <c r="B19" s="3">
        <v>20.6</v>
      </c>
      <c r="C19" s="3">
        <f>(B19-PI()*$A$19/2-0.25)/2</f>
        <v>0.75022203923062136</v>
      </c>
      <c r="E19" s="3"/>
    </row>
    <row r="20" spans="1:10">
      <c r="B20" s="3">
        <v>22.2</v>
      </c>
      <c r="C20" s="3">
        <f t="shared" ref="C20:C24" si="3">(B20-PI()*$A$19/2-0.25)/2</f>
        <v>1.5502220392306203</v>
      </c>
      <c r="E20" s="3"/>
    </row>
    <row r="21" spans="1:10">
      <c r="B21" s="3">
        <v>23.8</v>
      </c>
      <c r="C21" s="3">
        <f t="shared" si="3"/>
        <v>2.350222039230621</v>
      </c>
    </row>
    <row r="22" spans="1:10">
      <c r="B22" s="3">
        <v>25.4</v>
      </c>
      <c r="C22" s="3">
        <f t="shared" si="3"/>
        <v>3.1502220392306199</v>
      </c>
    </row>
    <row r="23" spans="1:10">
      <c r="B23" s="3">
        <v>27</v>
      </c>
      <c r="C23" s="3">
        <f t="shared" si="3"/>
        <v>3.9502220392306207</v>
      </c>
    </row>
    <row r="24" spans="1:10">
      <c r="A24" s="141"/>
      <c r="B24" s="148">
        <v>28.6</v>
      </c>
      <c r="C24" s="148">
        <f t="shared" si="3"/>
        <v>4.7502220392306214</v>
      </c>
      <c r="D24" s="42" t="s">
        <v>128</v>
      </c>
    </row>
    <row r="25" spans="1:10">
      <c r="A25" s="133">
        <v>14</v>
      </c>
      <c r="B25" s="3">
        <v>23.8</v>
      </c>
      <c r="C25" s="3">
        <f>(B25-PI()*$A$25/2-0.25)/2</f>
        <v>0.77942571243572445</v>
      </c>
    </row>
    <row r="26" spans="1:10">
      <c r="B26" s="3">
        <v>25.4</v>
      </c>
      <c r="C26" s="3">
        <f t="shared" ref="C26:C30" si="4">(B26-PI()*$A$25/2-0.25)/2</f>
        <v>1.5794257124357234</v>
      </c>
    </row>
    <row r="27" spans="1:10">
      <c r="B27" s="3">
        <v>27</v>
      </c>
      <c r="C27" s="3">
        <f t="shared" si="4"/>
        <v>2.3794257124357241</v>
      </c>
    </row>
    <row r="28" spans="1:10">
      <c r="B28" s="3">
        <v>28.6</v>
      </c>
      <c r="C28" s="3">
        <f t="shared" si="4"/>
        <v>3.1794257124357248</v>
      </c>
    </row>
    <row r="29" spans="1:10">
      <c r="B29" s="3">
        <v>30.2</v>
      </c>
      <c r="C29" s="3">
        <f t="shared" si="4"/>
        <v>3.9794257124357237</v>
      </c>
    </row>
    <row r="30" spans="1:10">
      <c r="A30" s="141"/>
      <c r="B30" s="148">
        <v>31.8</v>
      </c>
      <c r="C30" s="148">
        <f t="shared" si="4"/>
        <v>4.7794257124357244</v>
      </c>
      <c r="D30" s="42" t="s">
        <v>128</v>
      </c>
    </row>
    <row r="31" spans="1:10">
      <c r="A31" s="133">
        <v>16</v>
      </c>
      <c r="B31" s="3">
        <v>27</v>
      </c>
      <c r="C31" s="3">
        <f>(B31-PI()*$A$31/2-0.25)/2</f>
        <v>0.80862938564082754</v>
      </c>
    </row>
    <row r="32" spans="1:10">
      <c r="B32" s="3">
        <v>28.6</v>
      </c>
      <c r="C32" s="3">
        <f t="shared" ref="C32:C37" si="5">(B32-PI()*$A$31/2-0.25)/2</f>
        <v>1.6086293856408282</v>
      </c>
    </row>
    <row r="33" spans="1:9">
      <c r="B33" s="3">
        <v>30.2</v>
      </c>
      <c r="C33" s="3">
        <f t="shared" si="5"/>
        <v>2.4086293856408272</v>
      </c>
    </row>
    <row r="34" spans="1:9">
      <c r="B34" s="3">
        <v>31.8</v>
      </c>
      <c r="C34" s="3">
        <f t="shared" si="5"/>
        <v>3.2086293856408279</v>
      </c>
    </row>
    <row r="35" spans="1:9">
      <c r="B35" s="4">
        <v>33.4</v>
      </c>
      <c r="C35" s="4">
        <f t="shared" si="5"/>
        <v>4.0086293856408268</v>
      </c>
    </row>
    <row r="36" spans="1:9">
      <c r="A36" s="153"/>
      <c r="B36" s="5">
        <v>35</v>
      </c>
      <c r="C36" s="5">
        <f t="shared" si="5"/>
        <v>4.8086293856408275</v>
      </c>
      <c r="D36" s="42" t="s">
        <v>128</v>
      </c>
    </row>
    <row r="37" spans="1:9">
      <c r="A37" s="141"/>
      <c r="B37" s="154">
        <v>36.6</v>
      </c>
      <c r="C37" s="154">
        <f t="shared" si="5"/>
        <v>5.6086293856408282</v>
      </c>
      <c r="D37" s="42" t="s">
        <v>128</v>
      </c>
    </row>
    <row r="38" spans="1:9">
      <c r="A38" s="133">
        <v>18</v>
      </c>
      <c r="B38" s="5">
        <v>30.2</v>
      </c>
      <c r="C38" s="5">
        <f>(B38-PI()*$A$38/2-0.25)/2</f>
        <v>0.83783305884593062</v>
      </c>
    </row>
    <row r="39" spans="1:9">
      <c r="B39" s="5">
        <v>31.8</v>
      </c>
      <c r="C39" s="5">
        <f>(B39-PI()*$A$38/2-0.25)/2</f>
        <v>1.6378330588459313</v>
      </c>
    </row>
    <row r="40" spans="1:9">
      <c r="B40" s="5">
        <v>33.4</v>
      </c>
      <c r="C40" s="5">
        <f>(B40-PI()*$A$38/2-0.25)/2</f>
        <v>2.4378330588459303</v>
      </c>
    </row>
    <row r="41" spans="1:9">
      <c r="B41" s="5">
        <v>36.6</v>
      </c>
      <c r="C41" s="5">
        <f t="shared" ref="C41:C45" si="6">(B41-PI()*$A$38/2-0.25)/2</f>
        <v>4.0378330588459317</v>
      </c>
    </row>
    <row r="42" spans="1:9">
      <c r="B42" s="5">
        <v>38.299999999999997</v>
      </c>
      <c r="C42" s="5">
        <f t="shared" si="6"/>
        <v>4.8878330588459296</v>
      </c>
      <c r="D42" s="42"/>
    </row>
    <row r="43" spans="1:9">
      <c r="B43" s="5">
        <v>39.9</v>
      </c>
      <c r="C43" s="5">
        <f t="shared" si="6"/>
        <v>5.6878330588459303</v>
      </c>
      <c r="D43" s="42"/>
    </row>
    <row r="44" spans="1:9">
      <c r="B44" s="5">
        <v>41.5</v>
      </c>
      <c r="C44" s="5">
        <f t="shared" si="6"/>
        <v>6.487833058845931</v>
      </c>
      <c r="D44" s="42"/>
    </row>
    <row r="45" spans="1:9">
      <c r="A45" s="141"/>
      <c r="B45" s="154">
        <v>43.1</v>
      </c>
      <c r="C45" s="154">
        <f t="shared" si="6"/>
        <v>7.2878330588459317</v>
      </c>
      <c r="D45" s="42"/>
    </row>
    <row r="46" spans="1:9">
      <c r="I46" s="95" t="s">
        <v>129</v>
      </c>
    </row>
  </sheetData>
  <sheetProtection sheet="1" objects="1" scenarios="1"/>
  <mergeCells count="4">
    <mergeCell ref="A3:C3"/>
    <mergeCell ref="E3:G3"/>
    <mergeCell ref="I3:L3"/>
    <mergeCell ref="I13:L1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1:I56"/>
  <sheetViews>
    <sheetView zoomScaleNormal="100" zoomScaleSheetLayoutView="100" workbookViewId="0">
      <selection activeCell="D24" sqref="D24"/>
    </sheetView>
  </sheetViews>
  <sheetFormatPr defaultRowHeight="15"/>
  <cols>
    <col min="1" max="1" width="10.5703125" style="76" bestFit="1" customWidth="1"/>
    <col min="2" max="8" width="9.140625" style="76"/>
    <col min="9" max="9" width="9.7109375" style="76" bestFit="1" customWidth="1"/>
    <col min="10" max="16384" width="9.140625" style="76"/>
  </cols>
  <sheetData>
    <row r="1" spans="1:9" ht="14.1" customHeight="1">
      <c r="A1" s="178" t="s">
        <v>192</v>
      </c>
      <c r="I1" s="155">
        <v>41023</v>
      </c>
    </row>
    <row r="2" spans="1:9" ht="14.1" customHeight="1">
      <c r="A2" s="170"/>
    </row>
    <row r="3" spans="1:9" ht="14.1" customHeight="1">
      <c r="A3" s="76" t="s">
        <v>130</v>
      </c>
    </row>
    <row r="4" spans="1:9" ht="14.1" customHeight="1">
      <c r="A4" s="76" t="s">
        <v>131</v>
      </c>
    </row>
    <row r="5" spans="1:9" ht="14.1" customHeight="1"/>
    <row r="6" spans="1:9" ht="14.1" customHeight="1">
      <c r="A6" s="270" t="s">
        <v>132</v>
      </c>
      <c r="B6" s="271"/>
      <c r="C6" s="271"/>
      <c r="D6" s="271"/>
      <c r="E6" s="271"/>
      <c r="F6" s="271"/>
      <c r="G6" s="271"/>
      <c r="H6" s="271"/>
      <c r="I6" s="271"/>
    </row>
    <row r="7" spans="1:9" ht="14.1" customHeight="1">
      <c r="A7" s="271"/>
      <c r="B7" s="271"/>
      <c r="C7" s="271"/>
      <c r="D7" s="271"/>
      <c r="E7" s="271"/>
      <c r="F7" s="271"/>
      <c r="G7" s="271"/>
      <c r="H7" s="271"/>
      <c r="I7" s="271"/>
    </row>
    <row r="8" spans="1:9" ht="14.1" customHeight="1">
      <c r="A8" s="230"/>
      <c r="B8" s="230" t="s">
        <v>133</v>
      </c>
      <c r="C8" s="230"/>
      <c r="D8" s="230"/>
      <c r="E8" s="230"/>
      <c r="F8" s="230"/>
      <c r="G8" s="230"/>
      <c r="H8" s="230"/>
      <c r="I8" s="230"/>
    </row>
    <row r="9" spans="1:9" ht="14.1" customHeight="1">
      <c r="A9" s="230"/>
      <c r="B9" s="230" t="s">
        <v>134</v>
      </c>
      <c r="C9" s="230"/>
      <c r="D9" s="230"/>
      <c r="E9" s="230"/>
      <c r="F9" s="230"/>
      <c r="G9" s="230"/>
      <c r="H9" s="230"/>
      <c r="I9" s="230"/>
    </row>
    <row r="10" spans="1:9" ht="14.1" customHeight="1">
      <c r="A10" s="230"/>
      <c r="B10" s="230"/>
      <c r="C10" s="230"/>
      <c r="D10" s="230"/>
      <c r="E10" s="230"/>
      <c r="F10" s="230"/>
      <c r="G10" s="230"/>
      <c r="H10" s="230"/>
      <c r="I10" s="230"/>
    </row>
    <row r="11" spans="1:9" ht="14.1" customHeight="1">
      <c r="A11" s="268" t="s">
        <v>190</v>
      </c>
      <c r="B11" s="268"/>
      <c r="C11" s="268"/>
      <c r="D11" s="268"/>
      <c r="E11" s="268"/>
      <c r="F11" s="268"/>
      <c r="G11" s="268"/>
      <c r="H11" s="268"/>
      <c r="I11" s="230"/>
    </row>
    <row r="12" spans="1:9" ht="14.1" customHeight="1">
      <c r="A12" s="230"/>
      <c r="B12" s="230"/>
      <c r="C12" s="230"/>
      <c r="D12" s="230"/>
      <c r="E12" s="230"/>
      <c r="F12" s="230"/>
      <c r="G12" s="230"/>
      <c r="H12" s="230"/>
      <c r="I12" s="230"/>
    </row>
    <row r="13" spans="1:9" ht="14.1" customHeight="1">
      <c r="A13" s="231" t="s">
        <v>135</v>
      </c>
      <c r="B13" s="230"/>
      <c r="C13" s="231" t="s">
        <v>136</v>
      </c>
      <c r="D13" s="230"/>
      <c r="E13" s="230"/>
      <c r="F13" s="230"/>
      <c r="G13" s="230"/>
      <c r="H13" s="230"/>
      <c r="I13" s="230"/>
    </row>
    <row r="14" spans="1:9" ht="14.1" customHeight="1">
      <c r="A14" s="230"/>
      <c r="B14" s="230"/>
      <c r="C14" s="231" t="s">
        <v>137</v>
      </c>
      <c r="D14" s="230"/>
      <c r="E14" s="230"/>
      <c r="F14" s="230"/>
      <c r="G14" s="230"/>
      <c r="H14" s="230"/>
      <c r="I14" s="230"/>
    </row>
    <row r="15" spans="1:9" ht="14.1" customHeight="1">
      <c r="A15" s="231" t="s">
        <v>15</v>
      </c>
      <c r="B15" s="230"/>
      <c r="C15" s="231" t="s">
        <v>138</v>
      </c>
      <c r="D15" s="230"/>
      <c r="E15" s="230"/>
      <c r="F15" s="230"/>
      <c r="G15" s="230"/>
      <c r="H15" s="230"/>
      <c r="I15" s="230"/>
    </row>
    <row r="16" spans="1:9" ht="14.1" customHeight="1">
      <c r="A16" s="230"/>
      <c r="B16" s="230"/>
      <c r="C16" s="231" t="s">
        <v>137</v>
      </c>
      <c r="D16" s="230"/>
      <c r="E16" s="230"/>
      <c r="F16" s="230"/>
      <c r="G16" s="230"/>
      <c r="H16" s="230"/>
      <c r="I16" s="230"/>
    </row>
    <row r="17" spans="1:9" ht="14.1" customHeight="1">
      <c r="A17" s="231" t="s">
        <v>139</v>
      </c>
      <c r="B17" s="230"/>
      <c r="C17" s="231" t="s">
        <v>140</v>
      </c>
      <c r="D17" s="230"/>
      <c r="E17" s="230"/>
      <c r="F17" s="230"/>
      <c r="G17" s="230"/>
      <c r="H17" s="230"/>
      <c r="I17" s="230"/>
    </row>
    <row r="18" spans="1:9" ht="14.1" customHeight="1">
      <c r="A18" s="230"/>
      <c r="B18" s="230"/>
      <c r="C18" s="231" t="s">
        <v>141</v>
      </c>
      <c r="D18" s="230"/>
      <c r="E18" s="230"/>
      <c r="F18" s="230"/>
      <c r="G18" s="230"/>
      <c r="H18" s="230"/>
      <c r="I18" s="230"/>
    </row>
    <row r="19" spans="1:9" ht="14.1" customHeight="1">
      <c r="A19" s="231"/>
      <c r="B19" s="230"/>
      <c r="C19" s="231" t="s">
        <v>142</v>
      </c>
      <c r="D19" s="230"/>
      <c r="E19" s="230"/>
      <c r="F19" s="230"/>
      <c r="G19" s="230"/>
      <c r="H19" s="230"/>
      <c r="I19" s="230"/>
    </row>
    <row r="20" spans="1:9" ht="14.1" customHeight="1">
      <c r="A20" s="230"/>
      <c r="B20" s="230"/>
      <c r="C20" s="231" t="s">
        <v>137</v>
      </c>
      <c r="D20" s="230"/>
      <c r="E20" s="230"/>
      <c r="F20" s="230"/>
      <c r="G20" s="230"/>
      <c r="H20" s="230"/>
      <c r="I20" s="230"/>
    </row>
    <row r="21" spans="1:9" ht="14.1" customHeight="1">
      <c r="A21" s="230" t="s">
        <v>160</v>
      </c>
      <c r="B21" s="230"/>
      <c r="C21" s="231" t="s">
        <v>161</v>
      </c>
      <c r="D21" s="230"/>
      <c r="E21" s="230"/>
      <c r="F21" s="230"/>
      <c r="G21" s="230"/>
      <c r="H21" s="230"/>
      <c r="I21" s="230"/>
    </row>
    <row r="22" spans="1:9" ht="14.1" customHeight="1">
      <c r="A22" s="230"/>
      <c r="B22" s="230"/>
      <c r="C22" s="231" t="s">
        <v>154</v>
      </c>
      <c r="D22" s="230"/>
      <c r="E22" s="230"/>
      <c r="F22" s="230"/>
      <c r="G22" s="230"/>
      <c r="H22" s="230"/>
      <c r="I22" s="230"/>
    </row>
    <row r="23" spans="1:9" ht="14.1" customHeight="1">
      <c r="A23" s="230"/>
      <c r="B23" s="230"/>
      <c r="C23" s="230"/>
      <c r="D23" s="230"/>
      <c r="E23" s="230"/>
      <c r="F23" s="230"/>
      <c r="G23" s="230"/>
      <c r="H23" s="230"/>
      <c r="I23" s="230"/>
    </row>
    <row r="24" spans="1:9" ht="14.1" customHeight="1">
      <c r="A24" s="232" t="s">
        <v>143</v>
      </c>
      <c r="B24" s="230"/>
      <c r="C24" s="230"/>
      <c r="D24" s="230"/>
      <c r="E24" s="230"/>
      <c r="F24" s="230"/>
      <c r="G24" s="230"/>
      <c r="H24" s="230"/>
      <c r="I24" s="230"/>
    </row>
    <row r="25" spans="1:9" ht="14.1" customHeight="1">
      <c r="A25" s="232" t="s">
        <v>144</v>
      </c>
      <c r="B25" s="230"/>
      <c r="C25" s="230"/>
      <c r="D25" s="230"/>
      <c r="E25" s="230"/>
      <c r="F25" s="230"/>
      <c r="G25" s="230"/>
      <c r="H25" s="230"/>
      <c r="I25" s="230"/>
    </row>
    <row r="26" spans="1:9" ht="14.1" customHeight="1">
      <c r="A26" s="232" t="s">
        <v>145</v>
      </c>
      <c r="B26" s="230"/>
      <c r="C26" s="230"/>
      <c r="D26" s="230"/>
      <c r="E26" s="230"/>
      <c r="F26" s="230"/>
      <c r="G26" s="230"/>
      <c r="H26" s="230"/>
      <c r="I26" s="230"/>
    </row>
    <row r="27" spans="1:9" ht="14.1" customHeight="1">
      <c r="A27" s="232" t="s">
        <v>146</v>
      </c>
      <c r="B27" s="230"/>
      <c r="C27" s="230"/>
      <c r="D27" s="230"/>
      <c r="E27" s="230"/>
      <c r="F27" s="230"/>
      <c r="G27" s="230"/>
      <c r="H27" s="230"/>
      <c r="I27" s="230"/>
    </row>
    <row r="28" spans="1:9" ht="14.1" customHeight="1">
      <c r="A28" s="232" t="s">
        <v>147</v>
      </c>
      <c r="B28" s="230"/>
      <c r="C28" s="230"/>
      <c r="D28" s="230"/>
      <c r="E28" s="230"/>
      <c r="F28" s="230"/>
      <c r="G28" s="230"/>
      <c r="H28" s="230"/>
      <c r="I28" s="230"/>
    </row>
    <row r="29" spans="1:9" ht="14.1" customHeight="1">
      <c r="A29" s="230"/>
      <c r="B29" s="230"/>
      <c r="C29" s="230"/>
      <c r="D29" s="230"/>
      <c r="E29" s="230"/>
      <c r="F29" s="230"/>
      <c r="G29" s="230"/>
      <c r="H29" s="230"/>
      <c r="I29" s="230"/>
    </row>
    <row r="30" spans="1:9" ht="14.1" customHeight="1">
      <c r="A30" s="230"/>
      <c r="B30" s="230"/>
      <c r="C30" s="230"/>
      <c r="D30" s="230"/>
      <c r="E30" s="230"/>
      <c r="F30" s="230"/>
      <c r="G30" s="230"/>
      <c r="H30" s="230"/>
      <c r="I30" s="230"/>
    </row>
    <row r="31" spans="1:9" ht="14.1" customHeight="1">
      <c r="A31" s="233" t="s">
        <v>148</v>
      </c>
      <c r="B31" s="230"/>
      <c r="C31" s="230"/>
      <c r="D31" s="230"/>
      <c r="E31" s="230"/>
      <c r="F31" s="230"/>
      <c r="G31" s="230"/>
      <c r="H31" s="230"/>
      <c r="I31" s="230"/>
    </row>
    <row r="32" spans="1:9" ht="14.1" customHeight="1">
      <c r="A32" s="234" t="s">
        <v>187</v>
      </c>
      <c r="B32" s="230"/>
      <c r="C32" s="230"/>
      <c r="D32" s="230"/>
      <c r="E32" s="230"/>
      <c r="F32" s="230"/>
      <c r="G32" s="230"/>
      <c r="H32" s="230"/>
      <c r="I32" s="230"/>
    </row>
    <row r="33" spans="1:9" ht="14.1" customHeight="1">
      <c r="A33" s="234" t="s">
        <v>188</v>
      </c>
      <c r="B33" s="230"/>
      <c r="C33" s="230"/>
      <c r="D33" s="230"/>
      <c r="E33" s="230"/>
      <c r="F33" s="230"/>
      <c r="G33" s="230"/>
      <c r="H33" s="230"/>
      <c r="I33" s="230"/>
    </row>
    <row r="34" spans="1:9" ht="14.1" customHeight="1">
      <c r="A34" s="234" t="s">
        <v>189</v>
      </c>
      <c r="B34" s="230"/>
      <c r="C34" s="230"/>
      <c r="D34" s="230"/>
      <c r="E34" s="230"/>
      <c r="F34" s="230"/>
      <c r="G34" s="230"/>
      <c r="H34" s="230"/>
      <c r="I34" s="230"/>
    </row>
    <row r="35" spans="1:9" ht="14.1" customHeight="1">
      <c r="A35" s="234" t="s">
        <v>191</v>
      </c>
      <c r="B35" s="230"/>
      <c r="C35" s="230"/>
      <c r="D35" s="230"/>
      <c r="E35" s="230"/>
      <c r="F35" s="230"/>
      <c r="G35" s="230"/>
      <c r="H35" s="230"/>
      <c r="I35" s="230"/>
    </row>
    <row r="36" spans="1:9" ht="14.1" customHeight="1">
      <c r="A36" s="234"/>
      <c r="B36" s="230"/>
      <c r="C36" s="230"/>
      <c r="D36" s="230"/>
      <c r="E36" s="230"/>
      <c r="F36" s="230"/>
      <c r="G36" s="230"/>
      <c r="H36" s="230"/>
      <c r="I36" s="230"/>
    </row>
    <row r="37" spans="1:9" ht="14.1" customHeight="1">
      <c r="A37" s="234" t="s">
        <v>149</v>
      </c>
      <c r="B37" s="230"/>
      <c r="C37" s="230"/>
      <c r="D37" s="230"/>
      <c r="E37" s="230"/>
      <c r="F37" s="230"/>
      <c r="G37" s="230"/>
      <c r="H37" s="230"/>
      <c r="I37" s="230"/>
    </row>
    <row r="38" spans="1:9" ht="14.1" customHeight="1">
      <c r="A38" s="269" t="s">
        <v>155</v>
      </c>
      <c r="B38" s="269"/>
      <c r="C38" s="269"/>
      <c r="D38" s="269"/>
      <c r="E38" s="269"/>
      <c r="F38" s="269"/>
      <c r="G38" s="269"/>
      <c r="H38" s="269"/>
      <c r="I38" s="230"/>
    </row>
    <row r="39" spans="1:9" ht="14.1" customHeight="1">
      <c r="A39" s="230" t="s">
        <v>157</v>
      </c>
      <c r="B39" s="230"/>
      <c r="C39" s="230"/>
      <c r="D39" s="230"/>
      <c r="E39" s="230"/>
      <c r="F39" s="230"/>
      <c r="G39" s="230"/>
      <c r="H39" s="230"/>
      <c r="I39" s="230"/>
    </row>
    <row r="40" spans="1:9" ht="14.1" customHeight="1">
      <c r="A40" s="230" t="s">
        <v>158</v>
      </c>
      <c r="B40" s="230"/>
      <c r="C40" s="230"/>
      <c r="D40" s="230"/>
      <c r="E40" s="230"/>
      <c r="F40" s="230"/>
      <c r="G40" s="230"/>
      <c r="H40" s="230"/>
      <c r="I40" s="230"/>
    </row>
    <row r="41" spans="1:9" ht="14.1" customHeight="1">
      <c r="A41" s="230" t="s">
        <v>159</v>
      </c>
      <c r="B41" s="230"/>
      <c r="C41" s="230"/>
      <c r="D41" s="230"/>
      <c r="E41" s="230"/>
      <c r="F41" s="230"/>
      <c r="G41" s="230"/>
      <c r="H41" s="230"/>
      <c r="I41" s="230"/>
    </row>
    <row r="42" spans="1:9" ht="14.1" customHeight="1">
      <c r="A42" s="230" t="s">
        <v>163</v>
      </c>
      <c r="B42" s="230"/>
      <c r="C42" s="230"/>
      <c r="D42" s="230"/>
      <c r="E42" s="230"/>
      <c r="F42" s="230"/>
      <c r="G42" s="230"/>
      <c r="H42" s="230"/>
      <c r="I42" s="230"/>
    </row>
    <row r="43" spans="1:9" ht="14.1" customHeight="1">
      <c r="A43" s="230"/>
      <c r="B43" s="230"/>
      <c r="C43" s="230"/>
      <c r="D43" s="230"/>
      <c r="E43" s="230"/>
      <c r="F43" s="230"/>
      <c r="G43" s="230"/>
      <c r="H43" s="230"/>
      <c r="I43" s="230"/>
    </row>
    <row r="44" spans="1:9" ht="14.1" customHeight="1">
      <c r="A44" s="234" t="s">
        <v>150</v>
      </c>
      <c r="B44" s="230"/>
      <c r="C44" s="230"/>
      <c r="D44" s="230"/>
      <c r="E44" s="230"/>
      <c r="F44" s="230"/>
      <c r="G44" s="230"/>
      <c r="H44" s="230"/>
      <c r="I44" s="230"/>
    </row>
    <row r="45" spans="1:9" ht="14.1" customHeight="1">
      <c r="A45" s="235" t="s">
        <v>151</v>
      </c>
      <c r="B45" s="235"/>
      <c r="C45" s="235"/>
      <c r="D45" s="235"/>
      <c r="E45" s="235"/>
      <c r="F45" s="235"/>
      <c r="G45" s="235"/>
      <c r="H45" s="235"/>
      <c r="I45" s="230"/>
    </row>
    <row r="46" spans="1:9" ht="14.1" customHeight="1">
      <c r="A46" s="233"/>
      <c r="B46" s="230"/>
      <c r="C46" s="230"/>
      <c r="D46" s="230"/>
      <c r="E46" s="230"/>
      <c r="F46" s="230"/>
      <c r="G46" s="230"/>
      <c r="H46" s="230"/>
      <c r="I46" s="230"/>
    </row>
    <row r="47" spans="1:9" ht="14.1" customHeight="1">
      <c r="A47" s="234" t="s">
        <v>152</v>
      </c>
      <c r="B47" s="230"/>
      <c r="C47" s="230"/>
      <c r="D47" s="230"/>
      <c r="E47" s="230"/>
      <c r="F47" s="230"/>
      <c r="G47" s="230"/>
      <c r="H47" s="230"/>
      <c r="I47" s="230"/>
    </row>
    <row r="48" spans="1:9" ht="14.1" customHeight="1">
      <c r="A48" s="235" t="s">
        <v>153</v>
      </c>
      <c r="B48" s="235"/>
      <c r="C48" s="235"/>
      <c r="D48" s="235"/>
      <c r="E48" s="235"/>
      <c r="F48" s="235"/>
      <c r="G48" s="235"/>
      <c r="H48" s="235"/>
      <c r="I48" s="230"/>
    </row>
    <row r="49" spans="1:9" ht="14.1" customHeight="1">
      <c r="A49" s="230"/>
      <c r="B49" s="230"/>
      <c r="C49" s="230"/>
      <c r="D49" s="230"/>
      <c r="E49" s="230"/>
      <c r="F49" s="230"/>
      <c r="G49" s="230"/>
      <c r="H49" s="230"/>
      <c r="I49" s="230"/>
    </row>
    <row r="50" spans="1:9" ht="14.1" customHeight="1">
      <c r="A50" s="230"/>
      <c r="B50" s="230"/>
      <c r="C50" s="230"/>
      <c r="D50" s="230"/>
      <c r="E50" s="230"/>
      <c r="F50" s="230"/>
      <c r="G50" s="230"/>
      <c r="H50" s="230"/>
      <c r="I50" s="230"/>
    </row>
    <row r="51" spans="1:9" ht="14.1" customHeight="1">
      <c r="A51" s="230"/>
      <c r="B51" s="230"/>
      <c r="C51" s="230"/>
      <c r="D51" s="230"/>
      <c r="E51" s="230"/>
      <c r="F51" s="230"/>
      <c r="G51" s="230"/>
      <c r="H51" s="230"/>
      <c r="I51" s="230"/>
    </row>
    <row r="52" spans="1:9" ht="14.1" customHeight="1">
      <c r="A52" s="230"/>
      <c r="B52" s="230"/>
      <c r="C52" s="230"/>
      <c r="D52" s="230"/>
      <c r="E52" s="230"/>
      <c r="F52" s="230"/>
      <c r="G52" s="230"/>
      <c r="H52" s="230"/>
      <c r="I52" s="230"/>
    </row>
    <row r="53" spans="1:9" ht="14.1" customHeight="1">
      <c r="A53" s="230"/>
      <c r="B53" s="230"/>
      <c r="C53" s="230"/>
      <c r="D53" s="230"/>
      <c r="E53" s="230"/>
      <c r="F53" s="230"/>
      <c r="G53" s="230"/>
      <c r="H53" s="230"/>
      <c r="I53" s="230"/>
    </row>
    <row r="54" spans="1:9" ht="14.1" customHeight="1">
      <c r="A54" s="230"/>
      <c r="B54" s="230"/>
      <c r="C54" s="230"/>
      <c r="D54" s="230"/>
      <c r="E54" s="230"/>
      <c r="F54" s="230"/>
      <c r="G54" s="230"/>
      <c r="H54" s="230"/>
      <c r="I54" s="230"/>
    </row>
    <row r="55" spans="1:9" ht="12.95" customHeight="1">
      <c r="A55" s="229"/>
      <c r="B55" s="229"/>
      <c r="C55" s="229"/>
      <c r="D55" s="229"/>
      <c r="E55" s="229"/>
      <c r="F55" s="229"/>
      <c r="G55" s="229"/>
      <c r="H55" s="229"/>
      <c r="I55" s="229"/>
    </row>
    <row r="56" spans="1:9" ht="12.95" customHeight="1">
      <c r="A56" s="229"/>
      <c r="B56" s="229"/>
      <c r="C56" s="229"/>
      <c r="D56" s="229"/>
      <c r="E56" s="229"/>
      <c r="F56" s="229"/>
      <c r="G56" s="229"/>
      <c r="H56" s="229"/>
      <c r="I56" s="229"/>
    </row>
  </sheetData>
  <sheetProtection sheet="1" objects="1" scenarios="1"/>
  <mergeCells count="3">
    <mergeCell ref="A11:H11"/>
    <mergeCell ref="A38:H38"/>
    <mergeCell ref="A6:I7"/>
  </mergeCells>
  <pageMargins left="1.010416666666666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25</vt:i4>
      </vt:variant>
    </vt:vector>
  </HeadingPairs>
  <TitlesOfParts>
    <vt:vector size="32" baseType="lpstr">
      <vt:lpstr>Design</vt:lpstr>
      <vt:lpstr>Instructions</vt:lpstr>
      <vt:lpstr>Fig 5 tabulated</vt:lpstr>
      <vt:lpstr>Fig 7 tabulated</vt:lpstr>
      <vt:lpstr>Fig 9 tabulated </vt:lpstr>
      <vt:lpstr>Aluminum Structure Sizes</vt:lpstr>
      <vt:lpstr>Info</vt:lpstr>
      <vt:lpstr>Chw</vt:lpstr>
      <vt:lpstr>Cw</vt:lpstr>
      <vt:lpstr>D</vt:lpstr>
      <vt:lpstr>DesignFlow</vt:lpstr>
      <vt:lpstr>DesignFlowSubmerged</vt:lpstr>
      <vt:lpstr>F</vt:lpstr>
      <vt:lpstr>H</vt:lpstr>
      <vt:lpstr>Htwo</vt:lpstr>
      <vt:lpstr>L</vt:lpstr>
      <vt:lpstr>Design!Print_Area</vt:lpstr>
      <vt:lpstr>Design!Print_Titles</vt:lpstr>
      <vt:lpstr>Instructions!Print_Titles</vt:lpstr>
      <vt:lpstr>W</vt:lpstr>
      <vt:lpstr>Wb</vt:lpstr>
      <vt:lpstr>wcl</vt:lpstr>
      <vt:lpstr>'Fig 7 tabulated'!x</vt:lpstr>
      <vt:lpstr>'Fig 9 tabulated '!x</vt:lpstr>
      <vt:lpstr>x</vt:lpstr>
      <vt:lpstr>'Fig 9 tabulated '!xexpon</vt:lpstr>
      <vt:lpstr>xexpon</vt:lpstr>
      <vt:lpstr>'Fig 7 tabulated'!y</vt:lpstr>
      <vt:lpstr>'Fig 9 tabulated '!y</vt:lpstr>
      <vt:lpstr>y</vt:lpstr>
      <vt:lpstr>'Fig 9 tabulated '!yconstant</vt:lpstr>
      <vt:lpstr>yconstant</vt:lpstr>
    </vt:vector>
  </TitlesOfParts>
  <Company>USDA OCIO-ITS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neal.struthers</dc:creator>
  <cp:lastModifiedBy>jean.sandstrom</cp:lastModifiedBy>
  <cp:lastPrinted>2012-04-24T22:12:17Z</cp:lastPrinted>
  <dcterms:created xsi:type="dcterms:W3CDTF">2011-11-18T17:55:28Z</dcterms:created>
  <dcterms:modified xsi:type="dcterms:W3CDTF">2012-04-27T19:35:26Z</dcterms:modified>
</cp:coreProperties>
</file>