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S:\NRCS\Kinney\20-PA Website Backup\Engineering\Engineering Spreadsheets\"/>
    </mc:Choice>
  </mc:AlternateContent>
  <xr:revisionPtr revIDLastSave="0" documentId="13_ncr:1_{83D7E711-1519-4C14-A266-BCAC5475EC8D}" xr6:coauthVersionLast="47" xr6:coauthVersionMax="47" xr10:uidLastSave="{00000000-0000-0000-0000-000000000000}"/>
  <bookViews>
    <workbookView xWindow="1212" yWindow="-108" windowWidth="21936" windowHeight="13176" xr2:uid="{00000000-000D-0000-FFFF-FFFF00000000}"/>
  </bookViews>
  <sheets>
    <sheet name="Main- Standard Gutter Fall " sheetId="1" r:id="rId1"/>
    <sheet name="Variable Gutter Fall" sheetId="3" r:id="rId2"/>
    <sheet name="Support" sheetId="2" r:id="rId3"/>
    <sheet name="Formulas for Hand Calculations" sheetId="4" r:id="rId4"/>
  </sheets>
  <definedNames>
    <definedName name="_xlnm.Print_Area" localSheetId="0">'Main- Standard Gutter Fall '!$A$2:$I$92</definedName>
    <definedName name="_xlnm.Print_Area" localSheetId="2">Support!$A$40:$J$74</definedName>
    <definedName name="_xlnm.Print_Area" localSheetId="1">'Variable Gutter Fall'!$A$3:$I$91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7" i="1" l="1"/>
  <c r="Y38" i="3"/>
  <c r="W35" i="3" s="1"/>
  <c r="E44" i="3" s="1"/>
  <c r="X38" i="1"/>
  <c r="V35" i="1" s="1"/>
  <c r="F42" i="1" s="1"/>
  <c r="AB38" i="1"/>
  <c r="F40" i="1" s="1"/>
  <c r="G38" i="1"/>
  <c r="I5" i="2"/>
  <c r="G84" i="2"/>
  <c r="I84" i="2" s="1"/>
  <c r="J84" i="2" s="1"/>
  <c r="G83" i="2"/>
  <c r="I83" i="2"/>
  <c r="G78" i="2"/>
  <c r="I78" i="2"/>
  <c r="G77" i="2"/>
  <c r="I77" i="2"/>
  <c r="J78" i="2" s="1"/>
  <c r="D25" i="1"/>
  <c r="X35" i="1"/>
  <c r="E32" i="3"/>
  <c r="F32" i="1"/>
  <c r="D18" i="3"/>
  <c r="B20" i="3"/>
  <c r="D18" i="1"/>
  <c r="I24" i="1" s="1"/>
  <c r="I25" i="1" s="1"/>
  <c r="U50" i="2"/>
  <c r="U51" i="2"/>
  <c r="U52" i="2"/>
  <c r="U59" i="2"/>
  <c r="U60" i="2"/>
  <c r="P45" i="2"/>
  <c r="P50" i="2"/>
  <c r="P56" i="2"/>
  <c r="P43" i="2"/>
  <c r="S43" i="2"/>
  <c r="U44" i="2" s="1"/>
  <c r="U45" i="2"/>
  <c r="N43" i="2"/>
  <c r="P46" i="2" s="1"/>
  <c r="P44" i="2"/>
  <c r="F71" i="2"/>
  <c r="F70" i="2"/>
  <c r="F65" i="2"/>
  <c r="F64" i="2"/>
  <c r="F59" i="2"/>
  <c r="F55" i="2"/>
  <c r="F54" i="2"/>
  <c r="F49" i="2"/>
  <c r="F48" i="2"/>
  <c r="F43" i="2"/>
  <c r="F73" i="2"/>
  <c r="F72" i="2"/>
  <c r="F69" i="2"/>
  <c r="F68" i="2"/>
  <c r="F67" i="2"/>
  <c r="F66" i="2"/>
  <c r="F63" i="2"/>
  <c r="F62" i="2"/>
  <c r="F61" i="2"/>
  <c r="F60" i="2"/>
  <c r="F58" i="2"/>
  <c r="F57" i="2"/>
  <c r="F56" i="2"/>
  <c r="F53" i="2"/>
  <c r="F52" i="2"/>
  <c r="F47" i="2"/>
  <c r="F51" i="2"/>
  <c r="F50" i="2"/>
  <c r="F46" i="2"/>
  <c r="F42" i="2"/>
  <c r="Z17" i="2"/>
  <c r="AD17" i="2" s="1"/>
  <c r="Z11" i="2"/>
  <c r="AB11" i="2" s="1"/>
  <c r="Z5" i="2"/>
  <c r="Z23" i="2"/>
  <c r="Z28" i="2"/>
  <c r="AD28" i="2" s="1"/>
  <c r="AA34" i="2"/>
  <c r="Z34" i="2"/>
  <c r="AB34" i="2" s="1"/>
  <c r="AA28" i="2"/>
  <c r="AB28" i="2"/>
  <c r="AA23" i="2"/>
  <c r="AB23" i="2"/>
  <c r="AD23" i="2"/>
  <c r="AA17" i="2"/>
  <c r="AA11" i="2"/>
  <c r="AA5" i="2"/>
  <c r="AB5" i="2" s="1"/>
  <c r="AD5" i="2" s="1"/>
  <c r="F44" i="2"/>
  <c r="F45" i="2"/>
  <c r="H36" i="3"/>
  <c r="I36" i="3"/>
  <c r="H37" i="3"/>
  <c r="I37" i="3"/>
  <c r="H35" i="3"/>
  <c r="I35" i="3"/>
  <c r="F59" i="3"/>
  <c r="D25" i="3"/>
  <c r="I24" i="3"/>
  <c r="I25" i="3"/>
  <c r="H39" i="3" s="1"/>
  <c r="Y95" i="3"/>
  <c r="Y80" i="3"/>
  <c r="G67" i="3"/>
  <c r="Y96" i="3"/>
  <c r="Y81" i="3"/>
  <c r="G68" i="3"/>
  <c r="Y97" i="3"/>
  <c r="Y82" i="3"/>
  <c r="G69" i="3"/>
  <c r="Y98" i="3"/>
  <c r="Y83" i="3"/>
  <c r="G70" i="3" s="1"/>
  <c r="Y99" i="3"/>
  <c r="Y84" i="3"/>
  <c r="G71" i="3"/>
  <c r="Y100" i="3"/>
  <c r="Y85" i="3"/>
  <c r="G72" i="3"/>
  <c r="Y101" i="3"/>
  <c r="Y86" i="3"/>
  <c r="G73" i="3"/>
  <c r="Y102" i="3"/>
  <c r="Y87" i="3"/>
  <c r="G74" i="3" s="1"/>
  <c r="Y103" i="3"/>
  <c r="Y89" i="3"/>
  <c r="G75" i="3"/>
  <c r="Y104" i="3"/>
  <c r="Y90" i="3"/>
  <c r="G76" i="3"/>
  <c r="Y67" i="3"/>
  <c r="Y68" i="3"/>
  <c r="Y69" i="3"/>
  <c r="Y70" i="3"/>
  <c r="Y71" i="3"/>
  <c r="Y72" i="3"/>
  <c r="AB90" i="3"/>
  <c r="F61" i="3"/>
  <c r="Y35" i="3"/>
  <c r="E41" i="3"/>
  <c r="E42" i="3" s="1"/>
  <c r="Z90" i="3"/>
  <c r="C76" i="3"/>
  <c r="B67" i="3"/>
  <c r="B84" i="3" s="1"/>
  <c r="AB104" i="3"/>
  <c r="Z104" i="3"/>
  <c r="AB103" i="3"/>
  <c r="Z103" i="3"/>
  <c r="AB102" i="3"/>
  <c r="Z102" i="3"/>
  <c r="AB101" i="3"/>
  <c r="Z101" i="3"/>
  <c r="AB100" i="3"/>
  <c r="Z100" i="3"/>
  <c r="AB99" i="3"/>
  <c r="Z99" i="3"/>
  <c r="AB98" i="3"/>
  <c r="Z98" i="3"/>
  <c r="AB97" i="3"/>
  <c r="Z97" i="3"/>
  <c r="AB96" i="3"/>
  <c r="Z96" i="3"/>
  <c r="AB95" i="3"/>
  <c r="Z95" i="3"/>
  <c r="D30" i="3"/>
  <c r="B90" i="3"/>
  <c r="AB89" i="3"/>
  <c r="Z89" i="3"/>
  <c r="C75" i="3"/>
  <c r="AB87" i="3"/>
  <c r="E74" i="3" s="1"/>
  <c r="Z87" i="3"/>
  <c r="C74" i="3" s="1"/>
  <c r="AB86" i="3"/>
  <c r="Z86" i="3"/>
  <c r="C73" i="3"/>
  <c r="AB85" i="3"/>
  <c r="E72" i="3"/>
  <c r="Z85" i="3"/>
  <c r="C72" i="3"/>
  <c r="AB84" i="3"/>
  <c r="Z84" i="3"/>
  <c r="C71" i="3"/>
  <c r="AB83" i="3"/>
  <c r="E70" i="3" s="1"/>
  <c r="Z83" i="3"/>
  <c r="C70" i="3"/>
  <c r="AB82" i="3"/>
  <c r="E69" i="3"/>
  <c r="Z82" i="3"/>
  <c r="C69" i="3"/>
  <c r="AB81" i="3"/>
  <c r="E68" i="3"/>
  <c r="Z81" i="3"/>
  <c r="C68" i="3"/>
  <c r="AB80" i="3"/>
  <c r="E67" i="3" s="1"/>
  <c r="Z80" i="3"/>
  <c r="C67" i="3" s="1"/>
  <c r="E76" i="3"/>
  <c r="B76" i="3"/>
  <c r="E75" i="3"/>
  <c r="B75" i="3"/>
  <c r="B74" i="3"/>
  <c r="E73" i="3"/>
  <c r="B73" i="3"/>
  <c r="AB72" i="3"/>
  <c r="Z72" i="3"/>
  <c r="B72" i="3"/>
  <c r="AB71" i="3"/>
  <c r="Z71" i="3"/>
  <c r="E71" i="3"/>
  <c r="B71" i="3"/>
  <c r="AB70" i="3"/>
  <c r="Z70" i="3"/>
  <c r="B70" i="3"/>
  <c r="AB69" i="3"/>
  <c r="Z69" i="3"/>
  <c r="B69" i="3"/>
  <c r="AB68" i="3"/>
  <c r="Z68" i="3"/>
  <c r="B68" i="3"/>
  <c r="AB67" i="3"/>
  <c r="Z67" i="3"/>
  <c r="G65" i="3"/>
  <c r="C55" i="3"/>
  <c r="C54" i="3"/>
  <c r="C52" i="3"/>
  <c r="C50" i="3"/>
  <c r="C49" i="3"/>
  <c r="Y41" i="3"/>
  <c r="W72" i="1"/>
  <c r="W85" i="1"/>
  <c r="G72" i="1" s="1"/>
  <c r="W100" i="1"/>
  <c r="W71" i="1"/>
  <c r="W84" i="1"/>
  <c r="G71" i="1" s="1"/>
  <c r="W99" i="1"/>
  <c r="W70" i="1"/>
  <c r="W83" i="1"/>
  <c r="G70" i="1" s="1"/>
  <c r="W98" i="1"/>
  <c r="W69" i="1"/>
  <c r="W82" i="1"/>
  <c r="G69" i="1" s="1"/>
  <c r="W97" i="1"/>
  <c r="W68" i="1"/>
  <c r="W81" i="1"/>
  <c r="G68" i="1" s="1"/>
  <c r="W96" i="1"/>
  <c r="W67" i="1"/>
  <c r="W80" i="1"/>
  <c r="G67" i="1" s="1"/>
  <c r="W95" i="1"/>
  <c r="W86" i="1"/>
  <c r="W101" i="1"/>
  <c r="G73" i="1"/>
  <c r="W87" i="1"/>
  <c r="W102" i="1"/>
  <c r="G74" i="1"/>
  <c r="W89" i="1"/>
  <c r="G75" i="1" s="1"/>
  <c r="W103" i="1"/>
  <c r="W90" i="1"/>
  <c r="G76" i="1" s="1"/>
  <c r="W104" i="1"/>
  <c r="Z83" i="1"/>
  <c r="Z101" i="1"/>
  <c r="Z72" i="1"/>
  <c r="Z90" i="1"/>
  <c r="Z89" i="1"/>
  <c r="E75" i="1" s="1"/>
  <c r="X83" i="1"/>
  <c r="C70" i="1" s="1"/>
  <c r="X101" i="1"/>
  <c r="X72" i="1"/>
  <c r="C72" i="1"/>
  <c r="X90" i="1"/>
  <c r="C76" i="1" s="1"/>
  <c r="X89" i="1"/>
  <c r="B67" i="1"/>
  <c r="B84" i="1"/>
  <c r="X41" i="1"/>
  <c r="E30" i="1"/>
  <c r="B90" i="1"/>
  <c r="X102" i="1"/>
  <c r="Z102" i="1"/>
  <c r="B68" i="1"/>
  <c r="B69" i="1"/>
  <c r="B70" i="1"/>
  <c r="B71" i="1"/>
  <c r="B72" i="1"/>
  <c r="B73" i="1"/>
  <c r="B74" i="1"/>
  <c r="B75" i="1"/>
  <c r="B76" i="1"/>
  <c r="X85" i="1"/>
  <c r="D53" i="1"/>
  <c r="D52" i="1"/>
  <c r="D50" i="1"/>
  <c r="D48" i="1"/>
  <c r="Z85" i="1"/>
  <c r="E72" i="1" s="1"/>
  <c r="Z104" i="1"/>
  <c r="X104" i="1"/>
  <c r="Z87" i="1"/>
  <c r="E74" i="1"/>
  <c r="Z103" i="1"/>
  <c r="E76" i="1"/>
  <c r="Z86" i="1"/>
  <c r="E73" i="1" s="1"/>
  <c r="X87" i="1"/>
  <c r="C74" i="1"/>
  <c r="X103" i="1"/>
  <c r="C75" i="1"/>
  <c r="X86" i="1"/>
  <c r="C73" i="1"/>
  <c r="Z68" i="1"/>
  <c r="Z81" i="1"/>
  <c r="E68" i="1" s="1"/>
  <c r="Z96" i="1"/>
  <c r="Z69" i="1"/>
  <c r="Z82" i="1"/>
  <c r="E69" i="1" s="1"/>
  <c r="Z97" i="1"/>
  <c r="Z70" i="1"/>
  <c r="E70" i="1"/>
  <c r="Z98" i="1"/>
  <c r="Z71" i="1"/>
  <c r="Z84" i="1"/>
  <c r="E71" i="1" s="1"/>
  <c r="Z99" i="1"/>
  <c r="Z100" i="1"/>
  <c r="X69" i="1"/>
  <c r="X82" i="1"/>
  <c r="C69" i="1" s="1"/>
  <c r="X97" i="1"/>
  <c r="X70" i="1"/>
  <c r="X98" i="1"/>
  <c r="X71" i="1"/>
  <c r="X84" i="1"/>
  <c r="C71" i="1" s="1"/>
  <c r="X99" i="1"/>
  <c r="X100" i="1"/>
  <c r="X68" i="1"/>
  <c r="X81" i="1"/>
  <c r="C68" i="1" s="1"/>
  <c r="X96" i="1"/>
  <c r="Z67" i="1"/>
  <c r="Z80" i="1"/>
  <c r="E67" i="1" s="1"/>
  <c r="Z95" i="1"/>
  <c r="X67" i="1"/>
  <c r="X80" i="1"/>
  <c r="C67" i="1" s="1"/>
  <c r="X95" i="1"/>
  <c r="G65" i="1"/>
  <c r="G36" i="2"/>
  <c r="I36" i="2"/>
  <c r="G34" i="2"/>
  <c r="I34" i="2" s="1"/>
  <c r="J35" i="2" s="1"/>
  <c r="G35" i="2"/>
  <c r="I35" i="2"/>
  <c r="G28" i="2"/>
  <c r="I28" i="2" s="1"/>
  <c r="J29" i="2" s="1"/>
  <c r="G29" i="2"/>
  <c r="I29" i="2"/>
  <c r="G30" i="2"/>
  <c r="I30" i="2"/>
  <c r="G22" i="2"/>
  <c r="I22" i="2"/>
  <c r="J23" i="2" s="1"/>
  <c r="G23" i="2"/>
  <c r="I23" i="2"/>
  <c r="G24" i="2"/>
  <c r="I24" i="2"/>
  <c r="G16" i="2"/>
  <c r="I16" i="2"/>
  <c r="G17" i="2"/>
  <c r="I17" i="2" s="1"/>
  <c r="J17" i="2" s="1"/>
  <c r="G18" i="2"/>
  <c r="I18" i="2"/>
  <c r="G10" i="2"/>
  <c r="I10" i="2" s="1"/>
  <c r="G11" i="2"/>
  <c r="I11" i="2"/>
  <c r="G12" i="2"/>
  <c r="I12" i="2" s="1"/>
  <c r="G5" i="2"/>
  <c r="G6" i="2"/>
  <c r="I6" i="2"/>
  <c r="G7" i="2"/>
  <c r="I7" i="2"/>
  <c r="J6" i="2"/>
  <c r="F63" i="3"/>
  <c r="AB17" i="2"/>
  <c r="P55" i="2"/>
  <c r="P47" i="2"/>
  <c r="U57" i="2"/>
  <c r="U49" i="2"/>
  <c r="U56" i="2"/>
  <c r="U48" i="2"/>
  <c r="U55" i="2"/>
  <c r="U47" i="2"/>
  <c r="P60" i="2"/>
  <c r="U54" i="2"/>
  <c r="U46" i="2"/>
  <c r="U43" i="2"/>
  <c r="U53" i="2"/>
  <c r="F57" i="1" l="1"/>
  <c r="D44" i="1"/>
  <c r="C84" i="3"/>
  <c r="C87" i="3"/>
  <c r="J11" i="2"/>
  <c r="G84" i="1"/>
  <c r="C84" i="1"/>
  <c r="C46" i="3"/>
  <c r="B20" i="1"/>
  <c r="G84" i="3"/>
  <c r="P59" i="2"/>
  <c r="P54" i="2"/>
  <c r="P49" i="2"/>
  <c r="AD11" i="2"/>
  <c r="AD34" i="2"/>
  <c r="P58" i="2"/>
  <c r="P53" i="2"/>
  <c r="P48" i="2"/>
  <c r="P52" i="2"/>
  <c r="P57" i="2"/>
  <c r="P51" i="2"/>
  <c r="U58" i="2"/>
  <c r="F87" i="3" l="1"/>
  <c r="B91" i="3"/>
  <c r="F61" i="1"/>
  <c r="F63" i="1"/>
  <c r="C87" i="1" s="1"/>
  <c r="F87" i="1" s="1"/>
  <c r="B9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geoffrey.cerrelli</author>
  </authors>
  <commentList>
    <comment ref="B1" authorId="0" shapeId="0" xr:uid="{00000000-0006-0000-0000-000001000000}">
      <text>
        <r>
          <rPr>
            <b/>
            <sz val="8"/>
            <color indexed="81"/>
            <rFont val="Tahoma"/>
          </rPr>
          <t xml:space="preserve">This worksheet analyzes roof runoff based on FIXED GUTTER SLOPES OF 1/16, 1/8, and 1/4 INCH PER FOOT.  The worksheet titled "Variable Gutter Fall" analyzes ANY slope selected.  </t>
        </r>
        <r>
          <rPr>
            <b/>
            <sz val="8"/>
            <color indexed="10"/>
            <rFont val="Tahoma"/>
            <family val="2"/>
          </rPr>
          <t xml:space="preserve"> This worksheet is based on AWMFH PA-9 (6/96) DESIGN GUIDE NO. PA-1: ROOF GUTTERS &amp;  DOWNSPOUTS. 
Revised 6/1/2020 to include 1/32 and 1/64 box ogee gutter slopes.  TWP</t>
        </r>
        <r>
          <rPr>
            <sz val="8"/>
            <color indexed="81"/>
            <rFont val="Tahoma"/>
          </rPr>
          <t xml:space="preserve">
</t>
        </r>
      </text>
    </comment>
    <comment ref="D16" authorId="0" shapeId="0" xr:uid="{00000000-0006-0000-0000-000002000000}">
      <text>
        <r>
          <rPr>
            <b/>
            <sz val="8"/>
            <color indexed="81"/>
            <rFont val="Tahoma"/>
            <family val="2"/>
          </rPr>
          <t>For roofs draining toward Ag-Waste control practices, the 25-yr storm should be selected.  All others can use the 10-yr storm.  PA uses a 0.5 inch 5-min, 10-yr storm or a 0.6 inch 5-min,  25-yr storm for roof runoff designs.  This applies to all counties.</t>
        </r>
        <r>
          <rPr>
            <sz val="8"/>
            <color indexed="81"/>
            <rFont val="Tahoma"/>
          </rPr>
          <t xml:space="preserve">
</t>
        </r>
      </text>
    </comment>
    <comment ref="C24" authorId="0" shapeId="0" xr:uid="{00000000-0006-0000-0000-000003000000}">
      <text>
        <r>
          <rPr>
            <b/>
            <sz val="8"/>
            <color indexed="81"/>
            <rFont val="Tahoma"/>
          </rPr>
          <t>Length of vertical projection of roof width from peak to drip line.</t>
        </r>
        <r>
          <rPr>
            <sz val="8"/>
            <color indexed="81"/>
            <rFont val="Tahoma"/>
          </rPr>
          <t xml:space="preserve">
</t>
        </r>
        <r>
          <rPr>
            <b/>
            <sz val="8"/>
            <color indexed="81"/>
            <rFont val="Tahoma"/>
            <family val="2"/>
          </rPr>
          <t>Easiest to think of this in reference to "Footprint" of roof.</t>
        </r>
      </text>
    </comment>
    <comment ref="C30" authorId="0" shapeId="0" xr:uid="{00000000-0006-0000-0000-000004000000}">
      <text>
        <r>
          <rPr>
            <b/>
            <sz val="8"/>
            <color indexed="81"/>
            <rFont val="Tahoma"/>
          </rPr>
          <t>Enter:
A - for Box Ogee (galv)
B - for Box Ogee (alum)
C- for Semi-Circle</t>
        </r>
        <r>
          <rPr>
            <sz val="8"/>
            <color indexed="81"/>
            <rFont val="Tahoma"/>
          </rPr>
          <t xml:space="preserve">
</t>
        </r>
        <r>
          <rPr>
            <b/>
            <sz val="8"/>
            <color indexed="81"/>
            <rFont val="Tahoma"/>
            <family val="2"/>
          </rPr>
          <t xml:space="preserve">Pick a style and size that are available in the project area.  Test different sizes that are available to find the optimum size including impact to downspout size and spacing.
</t>
        </r>
        <r>
          <rPr>
            <b/>
            <sz val="8"/>
            <color indexed="10"/>
            <rFont val="Tahoma"/>
            <family val="2"/>
          </rPr>
          <t>SEE SKETCHES TO THE RIGHT.</t>
        </r>
      </text>
    </comment>
    <comment ref="V34" authorId="0" shapeId="0" xr:uid="{00000000-0006-0000-0000-000005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B40" authorId="0" shapeId="0" xr:uid="{00000000-0006-0000-0000-000006000000}">
      <text>
        <r>
          <rPr>
            <b/>
            <sz val="8"/>
            <color indexed="81"/>
            <rFont val="Tahoma"/>
          </rPr>
          <t>This is the drop in elevation per catchment area gutter-length.  This length is specified in Cell F59.  To decrease this drop, either the gutter slope  (Cell F38) or the spacing between downspouts (Cell F59), or both, must be decreased.</t>
        </r>
        <r>
          <rPr>
            <sz val="8"/>
            <color indexed="81"/>
            <rFont val="Tahoma"/>
          </rPr>
          <t xml:space="preserve">
</t>
        </r>
        <r>
          <rPr>
            <b/>
            <sz val="8"/>
            <color indexed="81"/>
            <rFont val="Tahoma"/>
            <family val="2"/>
          </rPr>
          <t xml:space="preserve">  If these changes cannot be reasonably accommodated then consider a larger gutter size.  Facia board height or possible obstruction to other building features can limit the allowable gutter fall.</t>
        </r>
      </text>
    </comment>
    <comment ref="F42" authorId="0" shapeId="0" xr:uid="{00000000-0006-0000-0000-000007000000}">
      <text>
        <r>
          <rPr>
            <b/>
            <sz val="8"/>
            <color indexed="81"/>
            <rFont val="Tahoma"/>
          </rPr>
          <t>If "#VALUE" appears here, it's because a Gutter Size was selected that is not on the list of available ones with hydraulic data.  See cell F32 for available options.
Pick from this list and insert value in Cell F35.</t>
        </r>
        <r>
          <rPr>
            <sz val="8"/>
            <color indexed="81"/>
            <rFont val="Tahoma"/>
          </rPr>
          <t xml:space="preserve">
</t>
        </r>
        <r>
          <rPr>
            <b/>
            <sz val="8"/>
            <color indexed="81"/>
            <rFont val="Tahoma"/>
            <family val="2"/>
          </rPr>
          <t>This procedure has a 1/2" freeboard allowance for gutter flow included.</t>
        </r>
      </text>
    </comment>
    <comment ref="D44" authorId="0" shapeId="0" xr:uid="{00000000-0006-0000-0000-000008000000}">
      <text>
        <r>
          <rPr>
            <b/>
            <sz val="8"/>
            <color indexed="81"/>
            <rFont val="Tahoma"/>
          </rPr>
          <t xml:space="preserve">If "#VALUE" appears here, it's because a Gutter Size was selected that is not on the list of available ones with hydraulic data.  See cell F32 for available options.
Pick from this list and insert value in Cell F35.
</t>
        </r>
      </text>
    </comment>
    <comment ref="E57" authorId="0" shapeId="0" xr:uid="{00000000-0006-0000-0000-000009000000}">
      <text>
        <r>
          <rPr>
            <b/>
            <sz val="8"/>
            <color indexed="81"/>
            <rFont val="Tahoma"/>
          </rPr>
          <t>This value relates to when the roof area runoff(between downspout locations) exceeds the gutter capacity.  A downspout is then required to drain gutter flow and continue from this point with gutter flow at zero once again.</t>
        </r>
        <r>
          <rPr>
            <sz val="8"/>
            <color indexed="81"/>
            <rFont val="Tahoma"/>
          </rPr>
          <t xml:space="preserve">
</t>
        </r>
      </text>
    </comment>
    <comment ref="F57" authorId="0" shapeId="0" xr:uid="{00000000-0006-0000-0000-00000A000000}">
      <text>
        <r>
          <rPr>
            <b/>
            <sz val="8"/>
            <color indexed="81"/>
            <rFont val="Tahoma"/>
          </rPr>
          <t xml:space="preserve">If "#VALUE" appears here, it's because a Gutter Size was selected that is not on the list of available ones with hydraulic data.  See cell F32 for available options.
Pick from this list and insert value in Cell F35.
</t>
        </r>
      </text>
    </comment>
    <comment ref="E59" authorId="0" shapeId="0" xr:uid="{00000000-0006-0000-0000-00000B000000}">
      <text>
        <r>
          <rPr>
            <b/>
            <sz val="8"/>
            <color indexed="81"/>
            <rFont val="Tahoma"/>
          </rPr>
          <t>Equals contributing gutter length to each downspout location. SHOULD NOT EXCEED LESSER OF ROOF LENGTH OR  MAX ALLOWABLE LISTED  IN CELL F57.  This assumes a constant gutter spacing for this project site.  If not, then treat each known roof area leading to a downspout as a separate design using this tool.</t>
        </r>
        <r>
          <rPr>
            <sz val="8"/>
            <color indexed="81"/>
            <rFont val="Tahoma"/>
          </rPr>
          <t xml:space="preserve">
</t>
        </r>
      </text>
    </comment>
    <comment ref="F61" authorId="0" shapeId="0" xr:uid="{00000000-0006-0000-0000-00000C000000}">
      <text>
        <r>
          <rPr>
            <b/>
            <sz val="8"/>
            <color indexed="81"/>
            <rFont val="Tahoma"/>
          </rPr>
          <t xml:space="preserve">If "#VALUE" appears here, it's because a Gutter Size was selected that is not on the list of available ones with hydraulic data.  See cell F32 for available options.
Pick from this list and insert value in Cell F35.
</t>
        </r>
      </text>
    </comment>
    <comment ref="E63" authorId="0" shapeId="0" xr:uid="{00000000-0006-0000-0000-00000D000000}">
      <text>
        <r>
          <rPr>
            <b/>
            <sz val="8"/>
            <color indexed="81"/>
            <rFont val="Tahoma"/>
          </rPr>
          <t>Each location may entail use of multiple downspouts.</t>
        </r>
        <r>
          <rPr>
            <sz val="8"/>
            <color indexed="81"/>
            <rFont val="Tahoma"/>
          </rPr>
          <t xml:space="preserve">
</t>
        </r>
      </text>
    </comment>
    <comment ref="F63" authorId="0" shapeId="0" xr:uid="{00000000-0006-0000-0000-00000E000000}">
      <text>
        <r>
          <rPr>
            <b/>
            <sz val="8"/>
            <color indexed="81"/>
            <rFont val="Tahoma"/>
          </rPr>
          <t xml:space="preserve">If "#VALUE" appears here, it's because a Gutter Size was selected that is not on the list of available ones with hydraulic data.  See cell F32 for available options.
Pick from this list and insert value in Cell F35.
</t>
        </r>
      </text>
    </comment>
    <comment ref="H71" authorId="0" shapeId="0" xr:uid="{00000000-0006-0000-0000-00000F000000}">
      <text>
        <r>
          <rPr>
            <b/>
            <sz val="8"/>
            <color indexed="81"/>
            <rFont val="Tahoma"/>
          </rPr>
          <t xml:space="preserve">The design strategy is to select a downspout size that is available in the project area that has a capacity at least equal to the Discharge Per Downspout listed in cell F63.  Double up Downspouts if need be from a capacity standpoint but only if no other options exist. </t>
        </r>
        <r>
          <rPr>
            <sz val="8"/>
            <color indexed="81"/>
            <rFont val="Tahoma"/>
          </rPr>
          <t xml:space="preserve">
</t>
        </r>
      </text>
    </comment>
    <comment ref="C87" authorId="0" shapeId="0" xr:uid="{00000000-0006-0000-0000-000010000000}">
      <text>
        <r>
          <rPr>
            <b/>
            <sz val="8"/>
            <color indexed="81"/>
            <rFont val="Tahoma"/>
          </rPr>
          <t xml:space="preserve">If "#VALUE" appears here, it's for any of the following 3 possibilities:
1) Because a Gutter Size was selected that is not on the list of available ones with hydraulic data.  See cell F32 for available options.
Pick from this list and insert value in Cell F35.
2) Because specified spacing between downspout locations in Cell F57 exceeds maximum permissible listed in Cell F55.  Reduce value in F57 to no greater than F55.
3) Because Downspout Type ID No. specfied in Cell C79 is not on the list from G65 to G74.  Correct this by choosing one from this list and entering ID No. in Cell C79.
 </t>
        </r>
      </text>
    </comment>
    <comment ref="F87" authorId="0" shapeId="0" xr:uid="{00000000-0006-0000-0000-000011000000}">
      <text>
        <r>
          <rPr>
            <b/>
            <sz val="8"/>
            <color indexed="81"/>
            <rFont val="Tahoma"/>
          </rPr>
          <t xml:space="preserve">Equals the number of downspouts required to handle  the last segment of roof controlled by this gutter system.  This accounts for the no. of downspouts required to drain the remnant roof portion after the full dedicated spacing increment per downspout has been accounted for.
If "#VALUE" appears here, it's for any of the following 3 possibilities:
1) Because a Gutter Size was selected that is not on the list of available ones with hydraulic data.  See cell F32 for available options.
Pick from this list and insert value in Cell F35.
2) Because specified spacing between downspout locations in Cell F57 exceeds maximum permissible listed in Cell F55.  Reduce value in F57 to no greater than F55.
3) Because Downspout Type ID No. specfied in Cell C79 is not on the list from G65 to G74.  Correct this by choosing one from this list and entering ID No. in Cell C79.
 </t>
        </r>
      </text>
    </comment>
    <comment ref="B91" authorId="0" shapeId="0" xr:uid="{00000000-0006-0000-0000-000012000000}">
      <text>
        <r>
          <rPr>
            <b/>
            <sz val="8"/>
            <color indexed="81"/>
            <rFont val="Tahoma"/>
          </rPr>
          <t xml:space="preserve">If "#VALUE" appears here, it's for any of the following 3 possibilities:
1) Because a Gutter Size was selected that is not on the list of available ones with hydraulic data.  See cell F32 for available options.
Pick from this list and insert value in Cell F35.
2) Because specified spacing between downspout locations in Cell F57 exceeds maximum permissible listed in Cell F55.  Reduce value in F57 to no greater than F55.
3) Because Downspout Type ID No. specfied in Cell C79 is not on the list from G65 to G74.  Correct this by choosing one from this list and entering ID No. in Cell C79.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geoffrey.cerrelli</author>
    <author>Geoffrey Cerrelli</author>
  </authors>
  <commentList>
    <comment ref="B1" authorId="0" shapeId="0" xr:uid="{00000000-0006-0000-0100-000001000000}">
      <text>
        <r>
          <rPr>
            <b/>
            <sz val="8"/>
            <color indexed="81"/>
            <rFont val="Tahoma"/>
          </rPr>
          <t xml:space="preserve">This worksheet analyzes ANY gutter slope selected (often based on maximum allowable drop per gutter run and/or fascia H).  The worksheet titled "Main" analyzes roof runoff based on FIXED GUTTER SLOPES OF 1/16, 1/8, and 1/4 INCH PER FOOT.  </t>
        </r>
        <r>
          <rPr>
            <b/>
            <sz val="8"/>
            <color indexed="10"/>
            <rFont val="Tahoma"/>
            <family val="2"/>
          </rPr>
          <t>This worksheet is based on AWMFH PA-9 (6/96) DESIGN GUIDE NO. PA-1: ROOF GUTTERS &amp;  DOWNSPOUTS.  Gutter flow includes a 1/2" freeboard allowance.</t>
        </r>
        <r>
          <rPr>
            <sz val="8"/>
            <color indexed="81"/>
            <rFont val="Tahoma"/>
          </rPr>
          <t xml:space="preserve">
</t>
        </r>
      </text>
    </comment>
    <comment ref="D16" authorId="0" shapeId="0" xr:uid="{00000000-0006-0000-0100-000002000000}">
      <text>
        <r>
          <rPr>
            <b/>
            <sz val="8"/>
            <color indexed="81"/>
            <rFont val="Tahoma"/>
            <family val="2"/>
          </rPr>
          <t>For roofs draining toward Ag-Waste control practices, the 25-yr storm should be selected.  All others can use the 10-yr storm.  PA uses a 0.5 inch 5-min, 10-yr storm or a 0.6 inch 5-min,  25-yr storm for roof runoff designs.  This applies to all counties.</t>
        </r>
        <r>
          <rPr>
            <sz val="8"/>
            <color indexed="81"/>
            <rFont val="Tahoma"/>
          </rPr>
          <t xml:space="preserve">
</t>
        </r>
      </text>
    </comment>
    <comment ref="C24" authorId="0" shapeId="0" xr:uid="{00000000-0006-0000-0100-000003000000}">
      <text>
        <r>
          <rPr>
            <b/>
            <sz val="8"/>
            <color indexed="81"/>
            <rFont val="Tahoma"/>
          </rPr>
          <t>Length of vertical projection of roof width from peak to drip line.</t>
        </r>
        <r>
          <rPr>
            <sz val="8"/>
            <color indexed="81"/>
            <rFont val="Tahoma"/>
          </rPr>
          <t xml:space="preserve">
</t>
        </r>
        <r>
          <rPr>
            <b/>
            <sz val="8"/>
            <color indexed="81"/>
            <rFont val="Tahoma"/>
            <family val="2"/>
          </rPr>
          <t>Easiest to think of this in reference to "Footprint" of roof.</t>
        </r>
      </text>
    </comment>
    <comment ref="B30" authorId="0" shapeId="0" xr:uid="{00000000-0006-0000-0100-000004000000}">
      <text>
        <r>
          <rPr>
            <b/>
            <sz val="8"/>
            <color indexed="81"/>
            <rFont val="Tahoma"/>
          </rPr>
          <t>Enter:
A - for Box Ogee (galv)
B - for Box Ogee (alum)
C- for Semi-Circle</t>
        </r>
        <r>
          <rPr>
            <sz val="8"/>
            <color indexed="81"/>
            <rFont val="Tahoma"/>
          </rPr>
          <t xml:space="preserve">
</t>
        </r>
        <r>
          <rPr>
            <b/>
            <sz val="8"/>
            <color indexed="81"/>
            <rFont val="Tahoma"/>
            <family val="2"/>
          </rPr>
          <t xml:space="preserve">Pick a style and size that are available in the project area.  Test different sizes that are available to find the optimum size including impact to downspout size and spacing.
</t>
        </r>
        <r>
          <rPr>
            <b/>
            <sz val="8"/>
            <color indexed="10"/>
            <rFont val="Tahoma"/>
            <family val="2"/>
          </rPr>
          <t>SEE SKETCHES TO THE RIGHT SIDE.</t>
        </r>
      </text>
    </comment>
    <comment ref="W34" authorId="0" shapeId="0" xr:uid="{00000000-0006-0000-0100-000005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D37" authorId="1" shapeId="0" xr:uid="{00000000-0006-0000-0100-000006000000}">
      <text>
        <r>
          <rPr>
            <b/>
            <sz val="8"/>
            <color indexed="81"/>
            <rFont val="Tahoma"/>
          </rPr>
          <t xml:space="preserve">Usually based on facia board H.  Typical max allowable fall is </t>
        </r>
        <r>
          <rPr>
            <b/>
            <vertAlign val="superscript"/>
            <sz val="8"/>
            <color indexed="81"/>
            <rFont val="Tahoma"/>
            <family val="2"/>
          </rPr>
          <t>1</t>
        </r>
        <r>
          <rPr>
            <b/>
            <sz val="8"/>
            <color indexed="81"/>
            <rFont val="Tahoma"/>
          </rPr>
          <t>/</t>
        </r>
        <r>
          <rPr>
            <b/>
            <vertAlign val="subscript"/>
            <sz val="8"/>
            <color indexed="81"/>
            <rFont val="Tahoma"/>
            <family val="2"/>
          </rPr>
          <t>2</t>
        </r>
        <r>
          <rPr>
            <b/>
            <sz val="8"/>
            <color indexed="81"/>
            <rFont val="Tahoma"/>
          </rPr>
          <t xml:space="preserve"> fascia board H.  Consider flow trajectory and ice damage potential.   Also, consider farm operations and clearance required.</t>
        </r>
        <r>
          <rPr>
            <sz val="8"/>
            <color indexed="81"/>
            <rFont val="Tahoma"/>
          </rPr>
          <t xml:space="preserve">
</t>
        </r>
      </text>
    </comment>
    <comment ref="D39" authorId="0" shapeId="0" xr:uid="{00000000-0006-0000-0100-000007000000}">
      <text>
        <r>
          <rPr>
            <b/>
            <sz val="8"/>
            <color indexed="81"/>
            <rFont val="Tahoma"/>
          </rPr>
          <t>Equals contributing gutter length to each downspout location.   This assumes a constant gutter spacing for this project site.  If not, then treat each known roof area leading to a downspout as a separate design using this tool.</t>
        </r>
        <r>
          <rPr>
            <sz val="8"/>
            <color indexed="81"/>
            <rFont val="Tahoma"/>
          </rPr>
          <t xml:space="preserve">
</t>
        </r>
      </text>
    </comment>
    <comment ref="F39" authorId="1" shapeId="0" xr:uid="{00000000-0006-0000-0100-000008000000}">
      <text>
        <r>
          <rPr>
            <b/>
            <sz val="8"/>
            <color indexed="81"/>
            <rFont val="Tahoma"/>
          </rPr>
          <t>For roof area at selected downspout spacing.</t>
        </r>
        <r>
          <rPr>
            <sz val="8"/>
            <color indexed="81"/>
            <rFont val="Tahoma"/>
          </rPr>
          <t xml:space="preserve">
</t>
        </r>
      </text>
    </comment>
    <comment ref="D41" authorId="1" shapeId="0" xr:uid="{00000000-0006-0000-0100-000009000000}">
      <text>
        <r>
          <rPr>
            <b/>
            <sz val="8"/>
            <color indexed="81"/>
            <rFont val="Tahoma"/>
            <family val="2"/>
          </rPr>
          <t xml:space="preserve">Maximum gutter fall/Selected Gutter Spacing.
</t>
        </r>
      </text>
    </comment>
    <comment ref="E44" authorId="0" shapeId="0" xr:uid="{00000000-0006-0000-0100-00000A000000}">
      <text>
        <r>
          <rPr>
            <b/>
            <sz val="8"/>
            <color indexed="81"/>
            <rFont val="Tahoma"/>
          </rPr>
          <t>If "#VALUE" appears here, it's because a Gutter Size was selected that is not on the list of available ones with hydraulic data.  See cell E32 for available options.
Pick from this list and insert value in Cell E35.</t>
        </r>
        <r>
          <rPr>
            <sz val="8"/>
            <color indexed="81"/>
            <rFont val="Tahoma"/>
          </rPr>
          <t xml:space="preserve">
</t>
        </r>
        <r>
          <rPr>
            <b/>
            <sz val="8"/>
            <color indexed="81"/>
            <rFont val="Tahoma"/>
            <family val="2"/>
          </rPr>
          <t>This procedure has a 1/2" freeboard allowance for gutter flow included.</t>
        </r>
      </text>
    </comment>
    <comment ref="C46" authorId="0" shapeId="0" xr:uid="{00000000-0006-0000-0100-00000B000000}">
      <text>
        <r>
          <rPr>
            <b/>
            <sz val="8"/>
            <color indexed="81"/>
            <rFont val="Tahoma"/>
          </rPr>
          <t xml:space="preserve">If "#VALUE" appears here, it's because a Gutter Size was selected that is not on the list of available ones with hydraulic data.  See cell E32 for available options.
Pick from this list and insert value in Cell E35.
</t>
        </r>
      </text>
    </comment>
    <comment ref="E59" authorId="0" shapeId="0" xr:uid="{00000000-0006-0000-0100-00000C000000}">
      <text>
        <r>
          <rPr>
            <b/>
            <sz val="8"/>
            <color indexed="81"/>
            <rFont val="Tahoma"/>
          </rPr>
          <t>Equals value from cell E39.</t>
        </r>
        <r>
          <rPr>
            <sz val="8"/>
            <color indexed="81"/>
            <rFont val="Tahoma"/>
          </rPr>
          <t xml:space="preserve">
</t>
        </r>
      </text>
    </comment>
    <comment ref="E63" authorId="0" shapeId="0" xr:uid="{00000000-0006-0000-0100-00000D000000}">
      <text>
        <r>
          <rPr>
            <b/>
            <sz val="8"/>
            <color indexed="81"/>
            <rFont val="Tahoma"/>
          </rPr>
          <t>Each location may entail use of multiple downspouts.</t>
        </r>
        <r>
          <rPr>
            <sz val="8"/>
            <color indexed="81"/>
            <rFont val="Tahoma"/>
          </rPr>
          <t xml:space="preserve">
</t>
        </r>
      </text>
    </comment>
    <comment ref="H71" authorId="0" shapeId="0" xr:uid="{00000000-0006-0000-0100-00000E000000}">
      <text>
        <r>
          <rPr>
            <b/>
            <sz val="8"/>
            <color indexed="81"/>
            <rFont val="Tahoma"/>
          </rPr>
          <t xml:space="preserve">The design strategy is to select a downspout size that is available in the project area that has a capacity at least equal to the Discharge Per Downspout listed in cell F63.  Double up Downspouts if need be from a capacity standpoint but only if no other options exist. </t>
        </r>
        <r>
          <rPr>
            <sz val="8"/>
            <color indexed="81"/>
            <rFont val="Tahoma"/>
          </rPr>
          <t xml:space="preserve">
</t>
        </r>
      </text>
    </comment>
    <comment ref="C87" authorId="0" shapeId="0" xr:uid="{00000000-0006-0000-0100-00000F000000}">
      <text>
        <r>
          <rPr>
            <b/>
            <sz val="8"/>
            <color indexed="81"/>
            <rFont val="Tahoma"/>
          </rPr>
          <t xml:space="preserve">If "#VALUE" appears here, it's for any of the following 2 possibilities:
1) Because a Gutter Size was selected that is not on the list of available ones with hydraulic data.  See cell E32 for available options.
Pick from this list and insert value in Cell E35.
2) Because Downspout Type ID No. specfied in Cell C79 is not on the list from G67 to G76.  Correct this by choosing one from this list and entering ID No. in Cell C81.
 </t>
        </r>
      </text>
    </comment>
    <comment ref="F87" authorId="0" shapeId="0" xr:uid="{00000000-0006-0000-0100-000010000000}">
      <text>
        <r>
          <rPr>
            <b/>
            <sz val="8"/>
            <color indexed="81"/>
            <rFont val="Tahoma"/>
          </rPr>
          <t xml:space="preserve">Equals the number of downspouts required to handle  the last segment of roof controlled by this gutter system.  This accounts for the no. of downspouts required to drain the remnant roof portion after the full dedicated spacing increment per downspout has been accounted for.
If "#VALUE" appears here, it's for any of the following 3 possibilities:
1) Because a Gutter Size was selected that is not on the list of available ones with hydraulic data.  See cell E32 for available options.
Pick from this list and insert value in Cell E35.
2) Because Downspout Type ID No. specfied in Cell C79 is not on the list from G67 to G76.  Correct this by choosing one from this list and entering ID No. in Cell C81.
 </t>
        </r>
      </text>
    </comment>
    <comment ref="B91" authorId="0" shapeId="0" xr:uid="{00000000-0006-0000-0100-000011000000}">
      <text>
        <r>
          <rPr>
            <b/>
            <sz val="8"/>
            <color indexed="81"/>
            <rFont val="Tahoma"/>
          </rPr>
          <t>If "#VALUE" appears here, it's for any of the following 2
 possibilities:
1) Because a Gutter Size was selected that is not on the list of available ones with hydraulic data.  See cell E32 for available options.
Pick from this list and insert value in Cell E35.
2) Because Downspout Type ID No. specfied in Cell C79 is not on the list from G67 to G76.  Correct this by choosing one from this list and entering ID No. in Cell C81.</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geoffrey.cerrelli</author>
  </authors>
  <commentList>
    <comment ref="X3" authorId="0" shapeId="0" xr:uid="{00000000-0006-0000-0200-000001000000}">
      <text>
        <r>
          <rPr>
            <b/>
            <sz val="8"/>
            <color indexed="81"/>
            <rFont val="Tahoma"/>
          </rPr>
          <t>geoffrey.cerrelli:</t>
        </r>
        <r>
          <rPr>
            <sz val="8"/>
            <color indexed="81"/>
            <rFont val="Tahoma"/>
          </rPr>
          <t xml:space="preserve">
Check by G. Cerrelli done after PA Degin Guide 1.  Could not find published values of Area, WP, or n-value for gutters.  Used engineering judgement to estimate these values.  Results proved comparable to validate original numbers.</t>
        </r>
      </text>
    </comment>
    <comment ref="I4" authorId="0" shapeId="0" xr:uid="{00000000-0006-0000-0200-000002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Z4" authorId="0" shapeId="0" xr:uid="{00000000-0006-0000-0200-000003000000}">
      <text>
        <r>
          <rPr>
            <b/>
            <sz val="8"/>
            <color indexed="81"/>
            <rFont val="Tahoma"/>
          </rPr>
          <t>with 1/2" freeboard per Des Guide No. PA-1.</t>
        </r>
        <r>
          <rPr>
            <sz val="8"/>
            <color indexed="81"/>
            <rFont val="Tahoma"/>
          </rPr>
          <t xml:space="preserve">
</t>
        </r>
      </text>
    </comment>
    <comment ref="AA4" authorId="0" shapeId="0" xr:uid="{00000000-0006-0000-0200-000004000000}">
      <text>
        <r>
          <rPr>
            <b/>
            <sz val="8"/>
            <color indexed="81"/>
            <rFont val="Tahoma"/>
          </rPr>
          <t>Wetted Perimeter with 1/2" freeboard per Des Guide No. PA-1.</t>
        </r>
        <r>
          <rPr>
            <sz val="8"/>
            <color indexed="81"/>
            <rFont val="Tahoma"/>
          </rPr>
          <t xml:space="preserve">
</t>
        </r>
      </text>
    </comment>
    <comment ref="AB4" authorId="0" shapeId="0" xr:uid="{00000000-0006-0000-0200-000005000000}">
      <text>
        <r>
          <rPr>
            <b/>
            <sz val="8"/>
            <color indexed="81"/>
            <rFont val="Tahoma"/>
          </rPr>
          <t>Hydraulic Radius</t>
        </r>
        <r>
          <rPr>
            <sz val="8"/>
            <color indexed="81"/>
            <rFont val="Tahoma"/>
          </rPr>
          <t xml:space="preserve">
</t>
        </r>
      </text>
    </comment>
    <comment ref="AC4" authorId="0" shapeId="0" xr:uid="{00000000-0006-0000-0200-000006000000}">
      <text>
        <r>
          <rPr>
            <b/>
            <sz val="8"/>
            <color indexed="81"/>
            <rFont val="Tahoma"/>
          </rPr>
          <t>estimated</t>
        </r>
        <r>
          <rPr>
            <sz val="8"/>
            <color indexed="81"/>
            <rFont val="Tahoma"/>
          </rPr>
          <t xml:space="preserve">
</t>
        </r>
      </text>
    </comment>
    <comment ref="AD4" authorId="0" shapeId="0" xr:uid="{00000000-0006-0000-0200-000007000000}">
      <text>
        <r>
          <rPr>
            <b/>
            <sz val="8"/>
            <color indexed="81"/>
            <rFont val="Tahoma"/>
          </rPr>
          <t>Conveyance = (1.486xAxR^0.667)/n</t>
        </r>
        <r>
          <rPr>
            <sz val="8"/>
            <color indexed="81"/>
            <rFont val="Tahoma"/>
          </rPr>
          <t xml:space="preserve">
</t>
        </r>
      </text>
    </comment>
    <comment ref="H5" authorId="0" shapeId="0" xr:uid="{00000000-0006-0000-0200-000008000000}">
      <text>
        <r>
          <rPr>
            <b/>
            <sz val="8"/>
            <color indexed="81"/>
            <rFont val="Tahoma"/>
          </rPr>
          <t>From Ag-Waste Handbook  page PA 10-2.1</t>
        </r>
        <r>
          <rPr>
            <sz val="8"/>
            <color indexed="81"/>
            <rFont val="Tahoma"/>
          </rPr>
          <t xml:space="preserve">
</t>
        </r>
      </text>
    </comment>
    <comment ref="H6" authorId="0" shapeId="0" xr:uid="{00000000-0006-0000-0200-000009000000}">
      <text>
        <r>
          <rPr>
            <b/>
            <sz val="8"/>
            <color indexed="81"/>
            <rFont val="Tahoma"/>
          </rPr>
          <t>From Ag-Waste Handbook  page PA 10-2.1</t>
        </r>
        <r>
          <rPr>
            <sz val="8"/>
            <color indexed="81"/>
            <rFont val="Tahoma"/>
          </rPr>
          <t xml:space="preserve">
</t>
        </r>
      </text>
    </comment>
    <comment ref="H7" authorId="0" shapeId="0" xr:uid="{00000000-0006-0000-0200-00000A000000}">
      <text>
        <r>
          <rPr>
            <b/>
            <sz val="8"/>
            <color indexed="81"/>
            <rFont val="Tahoma"/>
          </rPr>
          <t>From Ag-Waste Handbook  page PA 10-2.1</t>
        </r>
        <r>
          <rPr>
            <sz val="8"/>
            <color indexed="81"/>
            <rFont val="Tahoma"/>
          </rPr>
          <t xml:space="preserve">
</t>
        </r>
      </text>
    </comment>
    <comment ref="I9" authorId="0" shapeId="0" xr:uid="{00000000-0006-0000-0200-00000B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10" authorId="0" shapeId="0" xr:uid="{00000000-0006-0000-0200-00000C000000}">
      <text>
        <r>
          <rPr>
            <b/>
            <sz val="8"/>
            <color indexed="81"/>
            <rFont val="Tahoma"/>
          </rPr>
          <t>From Ag-Waste Handbook  page PA 10-2.1</t>
        </r>
        <r>
          <rPr>
            <sz val="8"/>
            <color indexed="81"/>
            <rFont val="Tahoma"/>
          </rPr>
          <t xml:space="preserve">
</t>
        </r>
      </text>
    </comment>
    <comment ref="H11" authorId="0" shapeId="0" xr:uid="{00000000-0006-0000-0200-00000D000000}">
      <text>
        <r>
          <rPr>
            <b/>
            <sz val="8"/>
            <color indexed="81"/>
            <rFont val="Tahoma"/>
          </rPr>
          <t>From Ag-Waste Handbook  page PA 10-2.1</t>
        </r>
        <r>
          <rPr>
            <sz val="8"/>
            <color indexed="81"/>
            <rFont val="Tahoma"/>
          </rPr>
          <t xml:space="preserve">
</t>
        </r>
      </text>
    </comment>
    <comment ref="H12" authorId="0" shapeId="0" xr:uid="{00000000-0006-0000-0200-00000E000000}">
      <text>
        <r>
          <rPr>
            <b/>
            <sz val="8"/>
            <color indexed="81"/>
            <rFont val="Tahoma"/>
          </rPr>
          <t>From Ag-Waste Handbook  page PA 10-2.1</t>
        </r>
        <r>
          <rPr>
            <sz val="8"/>
            <color indexed="81"/>
            <rFont val="Tahoma"/>
          </rPr>
          <t xml:space="preserve">
</t>
        </r>
      </text>
    </comment>
    <comment ref="I15" authorId="0" shapeId="0" xr:uid="{00000000-0006-0000-0200-00000F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16" authorId="0" shapeId="0" xr:uid="{00000000-0006-0000-0200-000010000000}">
      <text>
        <r>
          <rPr>
            <b/>
            <sz val="8"/>
            <color indexed="81"/>
            <rFont val="Tahoma"/>
          </rPr>
          <t>From Ag-Waste Handbook  page PA 10-2.1</t>
        </r>
        <r>
          <rPr>
            <sz val="8"/>
            <color indexed="81"/>
            <rFont val="Tahoma"/>
          </rPr>
          <t xml:space="preserve">
</t>
        </r>
      </text>
    </comment>
    <comment ref="H17" authorId="0" shapeId="0" xr:uid="{00000000-0006-0000-0200-000011000000}">
      <text>
        <r>
          <rPr>
            <b/>
            <sz val="8"/>
            <color indexed="81"/>
            <rFont val="Tahoma"/>
          </rPr>
          <t>From Ag-Waste Handbook  page PA 10-2.1</t>
        </r>
        <r>
          <rPr>
            <sz val="8"/>
            <color indexed="81"/>
            <rFont val="Tahoma"/>
          </rPr>
          <t xml:space="preserve">
</t>
        </r>
      </text>
    </comment>
    <comment ref="H18" authorId="0" shapeId="0" xr:uid="{00000000-0006-0000-0200-000012000000}">
      <text>
        <r>
          <rPr>
            <b/>
            <sz val="8"/>
            <color indexed="81"/>
            <rFont val="Tahoma"/>
          </rPr>
          <t>From Ag-Waste Handbook  page PA 10-2.1</t>
        </r>
        <r>
          <rPr>
            <sz val="8"/>
            <color indexed="81"/>
            <rFont val="Tahoma"/>
          </rPr>
          <t xml:space="preserve">
</t>
        </r>
      </text>
    </comment>
    <comment ref="I21" authorId="0" shapeId="0" xr:uid="{00000000-0006-0000-0200-000013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22" authorId="0" shapeId="0" xr:uid="{00000000-0006-0000-0200-000014000000}">
      <text>
        <r>
          <rPr>
            <b/>
            <sz val="8"/>
            <color indexed="81"/>
            <rFont val="Tahoma"/>
          </rPr>
          <t>From Ag-Waste Handbook  page PA 10-2.1</t>
        </r>
        <r>
          <rPr>
            <sz val="8"/>
            <color indexed="81"/>
            <rFont val="Tahoma"/>
          </rPr>
          <t xml:space="preserve">
</t>
        </r>
      </text>
    </comment>
    <comment ref="H23" authorId="0" shapeId="0" xr:uid="{00000000-0006-0000-0200-000015000000}">
      <text>
        <r>
          <rPr>
            <b/>
            <sz val="8"/>
            <color indexed="81"/>
            <rFont val="Tahoma"/>
          </rPr>
          <t>From Ag-Waste Handbook  page PA 10-2.1</t>
        </r>
        <r>
          <rPr>
            <sz val="8"/>
            <color indexed="81"/>
            <rFont val="Tahoma"/>
          </rPr>
          <t xml:space="preserve">
</t>
        </r>
      </text>
    </comment>
    <comment ref="H24" authorId="0" shapeId="0" xr:uid="{00000000-0006-0000-0200-000016000000}">
      <text>
        <r>
          <rPr>
            <b/>
            <sz val="8"/>
            <color indexed="81"/>
            <rFont val="Tahoma"/>
          </rPr>
          <t>From Ag-Waste Handbook  page PA 10-2.1</t>
        </r>
        <r>
          <rPr>
            <sz val="8"/>
            <color indexed="81"/>
            <rFont val="Tahoma"/>
          </rPr>
          <t xml:space="preserve">
</t>
        </r>
      </text>
    </comment>
    <comment ref="I27" authorId="0" shapeId="0" xr:uid="{00000000-0006-0000-0200-000017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28" authorId="0" shapeId="0" xr:uid="{00000000-0006-0000-0200-000018000000}">
      <text>
        <r>
          <rPr>
            <b/>
            <sz val="8"/>
            <color indexed="81"/>
            <rFont val="Tahoma"/>
          </rPr>
          <t>From Ag-Waste Handbook  page PA 10-2.1</t>
        </r>
        <r>
          <rPr>
            <sz val="8"/>
            <color indexed="81"/>
            <rFont val="Tahoma"/>
          </rPr>
          <t xml:space="preserve">
</t>
        </r>
      </text>
    </comment>
    <comment ref="H29" authorId="0" shapeId="0" xr:uid="{00000000-0006-0000-0200-000019000000}">
      <text>
        <r>
          <rPr>
            <b/>
            <sz val="8"/>
            <color indexed="81"/>
            <rFont val="Tahoma"/>
          </rPr>
          <t>From Ag-Waste Handbook  page PA 10-2.1</t>
        </r>
        <r>
          <rPr>
            <sz val="8"/>
            <color indexed="81"/>
            <rFont val="Tahoma"/>
          </rPr>
          <t xml:space="preserve">
</t>
        </r>
      </text>
    </comment>
    <comment ref="H30" authorId="0" shapeId="0" xr:uid="{00000000-0006-0000-0200-00001A000000}">
      <text>
        <r>
          <rPr>
            <b/>
            <sz val="8"/>
            <color indexed="81"/>
            <rFont val="Tahoma"/>
          </rPr>
          <t>From Ag-Waste Handbook  page PA 10-2.1</t>
        </r>
        <r>
          <rPr>
            <sz val="8"/>
            <color indexed="81"/>
            <rFont val="Tahoma"/>
          </rPr>
          <t xml:space="preserve">
</t>
        </r>
      </text>
    </comment>
    <comment ref="I33" authorId="0" shapeId="0" xr:uid="{00000000-0006-0000-0200-00001B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34" authorId="0" shapeId="0" xr:uid="{00000000-0006-0000-0200-00001C000000}">
      <text>
        <r>
          <rPr>
            <b/>
            <sz val="8"/>
            <color indexed="81"/>
            <rFont val="Tahoma"/>
          </rPr>
          <t>From Ag-Waste Handbook  page PA 10-2.1</t>
        </r>
        <r>
          <rPr>
            <sz val="8"/>
            <color indexed="81"/>
            <rFont val="Tahoma"/>
          </rPr>
          <t xml:space="preserve">
</t>
        </r>
      </text>
    </comment>
    <comment ref="H35" authorId="0" shapeId="0" xr:uid="{00000000-0006-0000-0200-00001D000000}">
      <text>
        <r>
          <rPr>
            <b/>
            <sz val="8"/>
            <color indexed="81"/>
            <rFont val="Tahoma"/>
          </rPr>
          <t>From Ag-Waste Handbook  page PA 10-2.1</t>
        </r>
        <r>
          <rPr>
            <sz val="8"/>
            <color indexed="81"/>
            <rFont val="Tahoma"/>
          </rPr>
          <t xml:space="preserve">
</t>
        </r>
      </text>
    </comment>
    <comment ref="H36" authorId="0" shapeId="0" xr:uid="{00000000-0006-0000-0200-00001E000000}">
      <text>
        <r>
          <rPr>
            <b/>
            <sz val="8"/>
            <color indexed="81"/>
            <rFont val="Tahoma"/>
          </rPr>
          <t>From Ag-Waste Handbook  page PA 10-2.1</t>
        </r>
        <r>
          <rPr>
            <sz val="8"/>
            <color indexed="81"/>
            <rFont val="Tahoma"/>
          </rPr>
          <t xml:space="preserve">
</t>
        </r>
      </text>
    </comment>
    <comment ref="F43" authorId="0" shapeId="0" xr:uid="{00000000-0006-0000-0200-00001F000000}">
      <text>
        <r>
          <rPr>
            <b/>
            <sz val="8"/>
            <color indexed="81"/>
            <rFont val="Tahoma"/>
          </rPr>
          <t>Reduce C per  corrugated influence. Estimated.</t>
        </r>
        <r>
          <rPr>
            <sz val="8"/>
            <color indexed="81"/>
            <rFont val="Tahoma"/>
          </rPr>
          <t xml:space="preserve">
</t>
        </r>
      </text>
    </comment>
    <comment ref="F48" authorId="0" shapeId="0" xr:uid="{00000000-0006-0000-0200-000020000000}">
      <text>
        <r>
          <rPr>
            <b/>
            <sz val="8"/>
            <color indexed="81"/>
            <rFont val="Tahoma"/>
          </rPr>
          <t>Reduce C per  corrugated influence. Estimated.</t>
        </r>
      </text>
    </comment>
    <comment ref="F49" authorId="0" shapeId="0" xr:uid="{00000000-0006-0000-0200-000021000000}">
      <text>
        <r>
          <rPr>
            <b/>
            <sz val="8"/>
            <color indexed="81"/>
            <rFont val="Tahoma"/>
          </rPr>
          <t>Reduce C per  corrugated influence. Estimated.</t>
        </r>
        <r>
          <rPr>
            <sz val="8"/>
            <color indexed="81"/>
            <rFont val="Tahoma"/>
          </rPr>
          <t xml:space="preserve">
</t>
        </r>
      </text>
    </comment>
    <comment ref="F54" authorId="0" shapeId="0" xr:uid="{00000000-0006-0000-0200-000022000000}">
      <text>
        <r>
          <rPr>
            <b/>
            <sz val="8"/>
            <color indexed="81"/>
            <rFont val="Tahoma"/>
          </rPr>
          <t>Reduce C per  corrugated influence. Estimated.</t>
        </r>
        <r>
          <rPr>
            <sz val="8"/>
            <color indexed="81"/>
            <rFont val="Tahoma"/>
          </rPr>
          <t xml:space="preserve">
</t>
        </r>
      </text>
    </comment>
    <comment ref="F55" authorId="0" shapeId="0" xr:uid="{00000000-0006-0000-0200-000023000000}">
      <text>
        <r>
          <rPr>
            <b/>
            <sz val="8"/>
            <color indexed="81"/>
            <rFont val="Tahoma"/>
          </rPr>
          <t>Reduce C per  corrugated influence. Estimated.</t>
        </r>
        <r>
          <rPr>
            <sz val="8"/>
            <color indexed="81"/>
            <rFont val="Tahoma"/>
          </rPr>
          <t xml:space="preserve">
</t>
        </r>
      </text>
    </comment>
    <comment ref="F59" authorId="0" shapeId="0" xr:uid="{00000000-0006-0000-0200-000024000000}">
      <text>
        <r>
          <rPr>
            <b/>
            <sz val="8"/>
            <color indexed="81"/>
            <rFont val="Tahoma"/>
          </rPr>
          <t>Reduce C per  corrugated influence. Estimated.</t>
        </r>
      </text>
    </comment>
    <comment ref="F64" authorId="0" shapeId="0" xr:uid="{00000000-0006-0000-0200-000025000000}">
      <text>
        <r>
          <rPr>
            <b/>
            <sz val="8"/>
            <color indexed="81"/>
            <rFont val="Tahoma"/>
          </rPr>
          <t>Reduce C per  corrugated influence. Estimated.</t>
        </r>
        <r>
          <rPr>
            <sz val="8"/>
            <color indexed="81"/>
            <rFont val="Tahoma"/>
          </rPr>
          <t xml:space="preserve">
</t>
        </r>
      </text>
    </comment>
    <comment ref="F65" authorId="0" shapeId="0" xr:uid="{00000000-0006-0000-0200-000026000000}">
      <text>
        <r>
          <rPr>
            <b/>
            <sz val="8"/>
            <color indexed="81"/>
            <rFont val="Tahoma"/>
          </rPr>
          <t>Reduce C per  corrugated influence. Estimated.</t>
        </r>
        <r>
          <rPr>
            <sz val="8"/>
            <color indexed="81"/>
            <rFont val="Tahoma"/>
          </rPr>
          <t xml:space="preserve">
</t>
        </r>
      </text>
    </comment>
    <comment ref="F70" authorId="0" shapeId="0" xr:uid="{00000000-0006-0000-0200-000027000000}">
      <text>
        <r>
          <rPr>
            <b/>
            <sz val="8"/>
            <color indexed="81"/>
            <rFont val="Tahoma"/>
          </rPr>
          <t>Reduce C per  corrugated influence. Estimated.</t>
        </r>
      </text>
    </comment>
    <comment ref="F71" authorId="0" shapeId="0" xr:uid="{00000000-0006-0000-0200-000028000000}">
      <text>
        <r>
          <rPr>
            <b/>
            <sz val="8"/>
            <color indexed="81"/>
            <rFont val="Tahoma"/>
          </rPr>
          <t>Reduce C per  corrugated influence. Estimated.</t>
        </r>
        <r>
          <rPr>
            <sz val="8"/>
            <color indexed="81"/>
            <rFont val="Tahoma"/>
          </rPr>
          <t xml:space="preserve">
</t>
        </r>
      </text>
    </comment>
    <comment ref="I76" authorId="0" shapeId="0" xr:uid="{00000000-0006-0000-0200-000029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77" authorId="0" shapeId="0" xr:uid="{00000000-0006-0000-0200-00002A000000}">
      <text>
        <r>
          <rPr>
            <b/>
            <sz val="8"/>
            <color indexed="81"/>
            <rFont val="Tahoma"/>
          </rPr>
          <t>From Ag-Waste Handbook  page PA 10-2.1</t>
        </r>
        <r>
          <rPr>
            <sz val="8"/>
            <color indexed="81"/>
            <rFont val="Tahoma"/>
          </rPr>
          <t xml:space="preserve">
</t>
        </r>
      </text>
    </comment>
    <comment ref="H78" authorId="0" shapeId="0" xr:uid="{00000000-0006-0000-0200-00002B000000}">
      <text>
        <r>
          <rPr>
            <b/>
            <sz val="8"/>
            <color indexed="81"/>
            <rFont val="Tahoma"/>
          </rPr>
          <t>From Ag-Waste Handbook  page PA 10-2.1</t>
        </r>
        <r>
          <rPr>
            <sz val="8"/>
            <color indexed="81"/>
            <rFont val="Tahoma"/>
          </rPr>
          <t xml:space="preserve">
</t>
        </r>
      </text>
    </comment>
    <comment ref="H79" authorId="0" shapeId="0" xr:uid="{00000000-0006-0000-0200-00002C000000}">
      <text>
        <r>
          <rPr>
            <b/>
            <sz val="8"/>
            <color indexed="81"/>
            <rFont val="Tahoma"/>
          </rPr>
          <t>From Ag-Waste Handbook  page PA 10-2.1</t>
        </r>
        <r>
          <rPr>
            <sz val="8"/>
            <color indexed="81"/>
            <rFont val="Tahoma"/>
          </rPr>
          <t xml:space="preserve">
</t>
        </r>
      </text>
    </comment>
    <comment ref="I82" authorId="0" shapeId="0" xr:uid="{00000000-0006-0000-0200-00002D000000}">
      <text>
        <r>
          <rPr>
            <b/>
            <sz val="8"/>
            <color indexed="81"/>
            <rFont val="Tahoma"/>
          </rPr>
          <t>1.49AR</t>
        </r>
        <r>
          <rPr>
            <b/>
            <vertAlign val="superscript"/>
            <sz val="8"/>
            <color indexed="81"/>
            <rFont val="Tahoma"/>
            <family val="2"/>
          </rPr>
          <t>2/3</t>
        </r>
        <r>
          <rPr>
            <b/>
            <sz val="8"/>
            <color indexed="81"/>
            <rFont val="Tahoma"/>
          </rPr>
          <t>/n</t>
        </r>
        <r>
          <rPr>
            <sz val="8"/>
            <color indexed="81"/>
            <rFont val="Tahoma"/>
          </rPr>
          <t xml:space="preserve">
Conveyance</t>
        </r>
      </text>
    </comment>
    <comment ref="H83" authorId="0" shapeId="0" xr:uid="{00000000-0006-0000-0200-00002E000000}">
      <text>
        <r>
          <rPr>
            <b/>
            <sz val="8"/>
            <color indexed="81"/>
            <rFont val="Tahoma"/>
          </rPr>
          <t>From Ag-Waste Handbook  page PA 10-2.1</t>
        </r>
        <r>
          <rPr>
            <sz val="8"/>
            <color indexed="81"/>
            <rFont val="Tahoma"/>
          </rPr>
          <t xml:space="preserve">
</t>
        </r>
      </text>
    </comment>
    <comment ref="H84" authorId="0" shapeId="0" xr:uid="{00000000-0006-0000-0200-00002F000000}">
      <text>
        <r>
          <rPr>
            <b/>
            <sz val="8"/>
            <color indexed="81"/>
            <rFont val="Tahoma"/>
          </rPr>
          <t>From Ag-Waste Handbook  page PA 10-2.1</t>
        </r>
        <r>
          <rPr>
            <sz val="8"/>
            <color indexed="81"/>
            <rFont val="Tahoma"/>
          </rPr>
          <t xml:space="preserve">
</t>
        </r>
      </text>
    </comment>
    <comment ref="H85" authorId="0" shapeId="0" xr:uid="{00000000-0006-0000-0200-000030000000}">
      <text>
        <r>
          <rPr>
            <b/>
            <sz val="8"/>
            <color indexed="81"/>
            <rFont val="Tahoma"/>
          </rPr>
          <t>From Ag-Waste Handbook  page PA 10-2.1</t>
        </r>
        <r>
          <rPr>
            <sz val="8"/>
            <color indexed="81"/>
            <rFont val="Tahoma"/>
          </rPr>
          <t xml:space="preserve">
</t>
        </r>
      </text>
    </comment>
  </commentList>
</comments>
</file>

<file path=xl/sharedStrings.xml><?xml version="1.0" encoding="utf-8"?>
<sst xmlns="http://schemas.openxmlformats.org/spreadsheetml/2006/main" count="483" uniqueCount="181">
  <si>
    <t>Roof L (ft) =</t>
  </si>
  <si>
    <r>
      <t>Area (ft</t>
    </r>
    <r>
      <rPr>
        <vertAlign val="superscript"/>
        <sz val="10"/>
        <rFont val="Arial"/>
        <family val="2"/>
      </rPr>
      <t>2</t>
    </r>
    <r>
      <rPr>
        <sz val="10"/>
        <rFont val="Arial"/>
      </rPr>
      <t>) =</t>
    </r>
  </si>
  <si>
    <t>Gutter Size (in) =</t>
  </si>
  <si>
    <t>Type =</t>
  </si>
  <si>
    <t>Box Ogee (galv)</t>
  </si>
  <si>
    <t>S (in/ft)</t>
  </si>
  <si>
    <t>S (ft/ft)</t>
  </si>
  <si>
    <t>Q (cfs)</t>
  </si>
  <si>
    <t>Box Ogee (alum)</t>
  </si>
  <si>
    <t>Semi Circle</t>
  </si>
  <si>
    <t>Downspout Size:</t>
  </si>
  <si>
    <t>3" Plain Round</t>
  </si>
  <si>
    <t>capacity (cfs)</t>
  </si>
  <si>
    <t>4" Plain Round</t>
  </si>
  <si>
    <t>n/a</t>
  </si>
  <si>
    <t>3" Corrugated Round</t>
  </si>
  <si>
    <t>4" Corrugated Round</t>
  </si>
  <si>
    <t>3" Octagonal</t>
  </si>
  <si>
    <t>4" Octagonal</t>
  </si>
  <si>
    <t>3" Corrugated Square</t>
  </si>
  <si>
    <t>4" Corrugated Square</t>
  </si>
  <si>
    <t>3x4" Plain Rectangular</t>
  </si>
  <si>
    <t>4x5" Plain Rectangular</t>
  </si>
  <si>
    <t>5" Plain Round</t>
  </si>
  <si>
    <t>5" Corrugated Round</t>
  </si>
  <si>
    <t>5" Octagonal</t>
  </si>
  <si>
    <t>5" Corrugated Square</t>
  </si>
  <si>
    <t>5x6" Plain Rectangular</t>
  </si>
  <si>
    <t>Gutter Size Options:</t>
  </si>
  <si>
    <t>K</t>
  </si>
  <si>
    <t>avg K</t>
  </si>
  <si>
    <t>K for A</t>
  </si>
  <si>
    <t>K for B</t>
  </si>
  <si>
    <t>K for C</t>
  </si>
  <si>
    <t>Maximum Gutter Capacity (cfs) =</t>
  </si>
  <si>
    <t>A1</t>
  </si>
  <si>
    <t>A2</t>
  </si>
  <si>
    <t>A3</t>
  </si>
  <si>
    <t>A5</t>
  </si>
  <si>
    <t>A4</t>
  </si>
  <si>
    <t>A6</t>
  </si>
  <si>
    <t>Type</t>
  </si>
  <si>
    <t>Capacity Each (cfs)</t>
  </si>
  <si>
    <t>ID No.</t>
  </si>
  <si>
    <t>A7</t>
  </si>
  <si>
    <t>A8</t>
  </si>
  <si>
    <t>A9</t>
  </si>
  <si>
    <t>A10</t>
  </si>
  <si>
    <t>A11</t>
  </si>
  <si>
    <t>A12</t>
  </si>
  <si>
    <t>A13</t>
  </si>
  <si>
    <t>A14</t>
  </si>
  <si>
    <t>A15</t>
  </si>
  <si>
    <t>A16</t>
  </si>
  <si>
    <t>A17</t>
  </si>
  <si>
    <t>A18</t>
  </si>
  <si>
    <t>A19</t>
  </si>
  <si>
    <t>A20</t>
  </si>
  <si>
    <t>A21</t>
  </si>
  <si>
    <t>A22</t>
  </si>
  <si>
    <t>A23</t>
  </si>
  <si>
    <t>A24</t>
  </si>
  <si>
    <t>A25</t>
  </si>
  <si>
    <t>A26</t>
  </si>
  <si>
    <t>B1</t>
  </si>
  <si>
    <t>B2</t>
  </si>
  <si>
    <t>B3</t>
  </si>
  <si>
    <t>B4</t>
  </si>
  <si>
    <t>B5</t>
  </si>
  <si>
    <t>B6</t>
  </si>
  <si>
    <t>B7</t>
  </si>
  <si>
    <t>B8</t>
  </si>
  <si>
    <t>B9</t>
  </si>
  <si>
    <t>B10</t>
  </si>
  <si>
    <t>B11</t>
  </si>
  <si>
    <t>B12</t>
  </si>
  <si>
    <t>B13</t>
  </si>
  <si>
    <t>B14</t>
  </si>
  <si>
    <t>B15</t>
  </si>
  <si>
    <t>B16</t>
  </si>
  <si>
    <t>C1</t>
  </si>
  <si>
    <t>C2</t>
  </si>
  <si>
    <t>C3</t>
  </si>
  <si>
    <t>C4</t>
  </si>
  <si>
    <t>C5</t>
  </si>
  <si>
    <t>C6</t>
  </si>
  <si>
    <t>C7</t>
  </si>
  <si>
    <t>C8</t>
  </si>
  <si>
    <t>C9</t>
  </si>
  <si>
    <t>C10</t>
  </si>
  <si>
    <t>Downspouts to Choose From (for 5" gutter)</t>
  </si>
  <si>
    <t>Downspouts to Choose From (for 6" gutter)</t>
  </si>
  <si>
    <t>Downspouts to Choose From (for 7" gutter)</t>
  </si>
  <si>
    <t xml:space="preserve">Downspouts to Choose From </t>
  </si>
  <si>
    <t>Downspout Type</t>
  </si>
  <si>
    <t>Comment:</t>
  </si>
  <si>
    <t>Number of Downspout(s) Locations Required =</t>
  </si>
  <si>
    <t>Discharge per Downspout Location (cfs)=</t>
  </si>
  <si>
    <t>No. of Downspouts per location</t>
  </si>
  <si>
    <t>County:</t>
  </si>
  <si>
    <t>Landowner Name:</t>
  </si>
  <si>
    <t>Project Description:</t>
  </si>
  <si>
    <t>Designed By:</t>
  </si>
  <si>
    <t>Date:</t>
  </si>
  <si>
    <t>Checked By:</t>
  </si>
  <si>
    <t>Precipitation/Peak Runoff Data</t>
  </si>
  <si>
    <t>Gutter Sizing Analysis</t>
  </si>
  <si>
    <t>Downspout Spacing/Sizing Analysis</t>
  </si>
  <si>
    <t>Max Allowable Spacing Between Downspout Locations (ft) =</t>
  </si>
  <si>
    <t>Dauphin</t>
  </si>
  <si>
    <t>Farmer John</t>
  </si>
  <si>
    <t>Ag-Waste, Barn Roof Runoff Control</t>
  </si>
  <si>
    <t>G. Cerrelli</t>
  </si>
  <si>
    <t>Design Storm Frequency (yr) =</t>
  </si>
  <si>
    <t>(10 or 25-yr, based on practices being protected)</t>
  </si>
  <si>
    <t xml:space="preserve"> 5-min Rainfall (in) =</t>
  </si>
  <si>
    <t>(0.5 for 10-yr and 0.6 for 25-yr in PA)</t>
  </si>
  <si>
    <t>Total Roof Peak Q (cfs) =</t>
  </si>
  <si>
    <t>Peak Q  per ft L of roof (cfs) =</t>
  </si>
  <si>
    <t>Select ID No. (from above)</t>
  </si>
  <si>
    <t>Material</t>
  </si>
  <si>
    <t>Selected K</t>
  </si>
  <si>
    <t>Materials List for Design Area:</t>
  </si>
  <si>
    <t>Gutter:</t>
  </si>
  <si>
    <t>Downspouts:</t>
  </si>
  <si>
    <t>Notes:</t>
  </si>
  <si>
    <t>No. of Downspouts at last location</t>
  </si>
  <si>
    <t>Gutter Fall per Downspout Spacing (see below), inches:</t>
  </si>
  <si>
    <t>W x L Roof Dimensions from Peak to Drip Edge</t>
  </si>
  <si>
    <t>Roof W (ft) =</t>
  </si>
  <si>
    <t>Resulting Gutter Slope (inches/ft):</t>
  </si>
  <si>
    <r>
      <t>therefore Q</t>
    </r>
    <r>
      <rPr>
        <vertAlign val="subscript"/>
        <sz val="10"/>
        <rFont val="Arial"/>
        <family val="2"/>
      </rPr>
      <t>design</t>
    </r>
    <r>
      <rPr>
        <sz val="10"/>
        <rFont val="Arial"/>
      </rPr>
      <t xml:space="preserve"> (cfs)=</t>
    </r>
  </si>
  <si>
    <t>or</t>
  </si>
  <si>
    <t>1/16</t>
  </si>
  <si>
    <t>1/8</t>
  </si>
  <si>
    <t>1/4</t>
  </si>
  <si>
    <t>**note</t>
  </si>
  <si>
    <t>Gutter Slope (in/ft)</t>
  </si>
  <si>
    <t>Orifice Q (cfs)</t>
  </si>
  <si>
    <t>Downspout Orifice Flow Check</t>
  </si>
  <si>
    <t>L-opening (in)</t>
  </si>
  <si>
    <t>W- opening (in)</t>
  </si>
  <si>
    <t>Depth- gutter (in)</t>
  </si>
  <si>
    <t>2x3" Plain Rectangular</t>
  </si>
  <si>
    <t>in/ft</t>
  </si>
  <si>
    <t>ft/ft</t>
  </si>
  <si>
    <t>%</t>
  </si>
  <si>
    <t>Standard Gutter Fall</t>
  </si>
  <si>
    <t>Selected Spacing Between Downspout Locations (ft)=</t>
  </si>
  <si>
    <t>Conveyance Value Check</t>
  </si>
  <si>
    <t>n-value</t>
  </si>
  <si>
    <t>Gutter Width(in)</t>
  </si>
  <si>
    <t>Gutter Depth (in)</t>
  </si>
  <si>
    <r>
      <t>Est Flow Area(ft</t>
    </r>
    <r>
      <rPr>
        <vertAlign val="superscript"/>
        <sz val="10"/>
        <rFont val="Arial"/>
        <family val="2"/>
      </rPr>
      <t>2</t>
    </r>
    <r>
      <rPr>
        <sz val="10"/>
        <rFont val="Arial"/>
      </rPr>
      <t>)</t>
    </r>
  </si>
  <si>
    <t xml:space="preserve">Est Flow WP(ft) </t>
  </si>
  <si>
    <t>Est R (ft)</t>
  </si>
  <si>
    <t>Est K</t>
  </si>
  <si>
    <t>Actuals Used</t>
  </si>
  <si>
    <t>Shape</t>
  </si>
  <si>
    <t>Rectangle</t>
  </si>
  <si>
    <t>Round</t>
  </si>
  <si>
    <t>Square</t>
  </si>
  <si>
    <t>Box Ogee Galvanized</t>
  </si>
  <si>
    <t>Box Ogee Aluminum</t>
  </si>
  <si>
    <t>5-min Rain (in)</t>
  </si>
  <si>
    <r>
      <t>cfs/ft</t>
    </r>
    <r>
      <rPr>
        <vertAlign val="superscript"/>
        <sz val="10"/>
        <rFont val="Arial"/>
        <family val="2"/>
      </rPr>
      <t>2</t>
    </r>
  </si>
  <si>
    <t>Target Q (cfs)</t>
  </si>
  <si>
    <r>
      <t>Roof Area (ft</t>
    </r>
    <r>
      <rPr>
        <vertAlign val="superscript"/>
        <sz val="10"/>
        <rFont val="Arial"/>
        <family val="2"/>
      </rPr>
      <t>2</t>
    </r>
    <r>
      <rPr>
        <sz val="10"/>
        <rFont val="Arial"/>
      </rPr>
      <t>)</t>
    </r>
  </si>
  <si>
    <t>10-yr</t>
  </si>
  <si>
    <t>25-yr</t>
  </si>
  <si>
    <t>Select Spacing Between Downspout Locations (ft)=</t>
  </si>
  <si>
    <t>Select Spacing Between Downspouts (ft) =</t>
  </si>
  <si>
    <t>Select Gutter Size                                           (pick one of above sizes in inches):</t>
  </si>
  <si>
    <t>Specify Maximum Allowable Gutter Fall (inches):</t>
  </si>
  <si>
    <t>Select Gutter Size                                          (pick one of above sizes in inches):</t>
  </si>
  <si>
    <t>Select Gutter Style:</t>
  </si>
  <si>
    <t>Select Gutter Style :</t>
  </si>
  <si>
    <t>b</t>
  </si>
  <si>
    <r>
      <t xml:space="preserve">Specify Gutter Slope (fall in inches per foot)   </t>
    </r>
    <r>
      <rPr>
        <b/>
        <sz val="10"/>
        <rFont val="Arial"/>
        <family val="2"/>
      </rPr>
      <t>CHOOSE FROM A=1/16, B=1/8, C=1/4, D=1/32, or E=1/64</t>
    </r>
    <r>
      <rPr>
        <sz val="10"/>
        <rFont val="Arial"/>
      </rPr>
      <t xml:space="preserve"> :</t>
    </r>
  </si>
  <si>
    <t>b7</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</si>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</sst>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0.000000"/>
    <numFmt numFmtId="167" formatCode="mm/dd/yy;@"/>
    <numFmt numFmtId="168" formatCode="#\ ??/100"/>
  </numFmts>
  <fonts count="35" x14ac:knownFonts="1">
    <font>
      <sz val="10"/>
      <name val="Arial"/>
    </font>
    <font>
      <sz val="10"/>
      <name val="Arial"/>
    </font>
    <font>
      <b/>
      <sz val="10"/>
      <name val="Arial"/>
      <family val="2"/>
    </font>
    <font>
      <vertAlign val="superscript"/>
      <sz val="10"/>
      <name val="Arial"/>
      <family val="2"/>
    </font>
    <font>
      <b/>
      <sz val="10"/>
      <color indexed="12"/>
      <name val="Arial"/>
      <family val="2"/>
    </font>
    <font>
      <sz val="10"/>
      <color indexed="12"/>
      <name val="Arial"/>
    </font>
    <font>
      <sz val="8"/>
      <name val="Arial"/>
    </font>
    <font>
      <sz val="10"/>
      <color indexed="10"/>
      <name val="Arial"/>
    </font>
    <font>
      <sz val="10"/>
      <color indexed="14"/>
      <name val="Arial"/>
    </font>
    <font>
      <sz val="8"/>
      <color indexed="81"/>
      <name val="Tahoma"/>
    </font>
    <font>
      <b/>
      <sz val="8"/>
      <color indexed="81"/>
      <name val="Tahoma"/>
    </font>
    <font>
      <sz val="10"/>
      <color indexed="57"/>
      <name val="Arial"/>
    </font>
    <font>
      <b/>
      <u/>
      <sz val="10"/>
      <color indexed="10"/>
      <name val="Arial"/>
      <family val="2"/>
    </font>
    <font>
      <b/>
      <vertAlign val="superscript"/>
      <sz val="8"/>
      <color indexed="81"/>
      <name val="Tahoma"/>
      <family val="2"/>
    </font>
    <font>
      <u/>
      <sz val="10"/>
      <name val="Arial"/>
    </font>
    <font>
      <u/>
      <sz val="12"/>
      <name val="Arial"/>
    </font>
    <font>
      <sz val="10"/>
      <name val="Arial"/>
      <family val="2"/>
    </font>
    <font>
      <u/>
      <sz val="10"/>
      <color indexed="12"/>
      <name val="Arial"/>
    </font>
    <font>
      <u/>
      <sz val="10"/>
      <color indexed="53"/>
      <name val="Arial"/>
    </font>
    <font>
      <b/>
      <u/>
      <sz val="10"/>
      <name val="Arial"/>
      <family val="2"/>
    </font>
    <font>
      <b/>
      <sz val="8"/>
      <color indexed="81"/>
      <name val="Tahoma"/>
      <family val="2"/>
    </font>
    <font>
      <vertAlign val="subscript"/>
      <sz val="10"/>
      <name val="Arial"/>
      <family val="2"/>
    </font>
    <font>
      <b/>
      <vertAlign val="subscript"/>
      <sz val="8"/>
      <color indexed="81"/>
      <name val="Tahoma"/>
      <family val="2"/>
    </font>
    <font>
      <b/>
      <sz val="8"/>
      <color indexed="10"/>
      <name val="Tahoma"/>
      <family val="2"/>
    </font>
    <font>
      <b/>
      <sz val="14"/>
      <name val="Arial"/>
      <family val="2"/>
    </font>
    <font>
      <b/>
      <sz val="14"/>
      <color indexed="10"/>
      <name val="Arial"/>
      <family val="2"/>
    </font>
    <font>
      <sz val="14"/>
      <name val="Arial"/>
      <family val="2"/>
    </font>
    <font>
      <sz val="14"/>
      <color indexed="10"/>
      <name val="Arial"/>
      <family val="2"/>
    </font>
    <font>
      <b/>
      <u/>
      <sz val="10"/>
      <color rgb="FFFF0000"/>
      <name val="Arial"/>
      <family val="2"/>
    </font>
    <font>
      <b/>
      <u/>
      <sz val="10"/>
      <color indexed="57"/>
      <name val="Arial"/>
      <family val="2"/>
    </font>
    <font>
      <b/>
      <u/>
      <sz val="12"/>
      <color indexed="57"/>
      <name val="Arial"/>
      <family val="2"/>
    </font>
    <font>
      <b/>
      <sz val="10"/>
      <color indexed="10"/>
      <name val="Arial"/>
      <family val="2"/>
    </font>
    <font>
      <b/>
      <sz val="10"/>
      <color indexed="14"/>
      <name val="Arial"/>
      <family val="2"/>
    </font>
    <font>
      <b/>
      <sz val="11"/>
      <name val="Arial"/>
      <family val="2"/>
    </font>
    <font>
      <sz val="11"/>
      <name val="Arial"/>
      <family val="2"/>
    </font>
  </fonts>
  <fills count="7">
    <fill>
      <patternFill patternType="none"/>
    </fill>
    <fill>
      <patternFill patternType="gray125"/>
    </fill>
    <fill>
      <patternFill patternType="solid">
        <fgColor indexed="41"/>
        <bgColor indexed="64"/>
      </patternFill>
    </fill>
    <fill>
      <patternFill patternType="solid">
        <fgColor indexed="26"/>
        <bgColor indexed="64"/>
      </patternFill>
    </fill>
    <fill>
      <patternFill patternType="solid">
        <fgColor indexed="42"/>
        <bgColor indexed="64"/>
      </patternFill>
    </fill>
    <fill>
      <patternFill patternType="solid">
        <fgColor indexed="15"/>
        <bgColor indexed="64"/>
      </patternFill>
    </fill>
    <fill>
      <patternFill patternType="solid">
        <fgColor rgb="FFFFFF00"/>
        <bgColor indexed="64"/>
      </patternFill>
    </fill>
  </fills>
  <borders count="23">
    <border>
      <left/>
      <right/>
      <top/>
      <bottom/>
      <diagonal/>
    </border>
    <border>
      <left/>
      <right/>
      <top style="thick">
        <color indexed="64"/>
      </top>
      <bottom/>
      <diagonal/>
    </border>
    <border>
      <left/>
      <right/>
      <top/>
      <bottom style="thick">
        <color indexed="64"/>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thick">
        <color indexed="64"/>
      </top>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dashDot">
        <color indexed="12"/>
      </top>
      <bottom/>
      <diagonal/>
    </border>
    <border>
      <left/>
      <right/>
      <top style="dashDotDot">
        <color indexed="12"/>
      </top>
      <bottom/>
      <diagonal/>
    </border>
    <border>
      <left/>
      <right style="thick">
        <color indexed="64"/>
      </right>
      <top style="thick">
        <color indexed="64"/>
      </top>
      <bottom/>
      <diagonal/>
    </border>
    <border>
      <left/>
      <right style="thick">
        <color indexed="64"/>
      </right>
      <top/>
      <bottom/>
      <diagonal/>
    </border>
    <border>
      <left/>
      <right style="thick">
        <color indexed="64"/>
      </right>
      <top/>
      <bottom style="thick">
        <color indexed="64"/>
      </bottom>
      <diagonal/>
    </border>
  </borders>
  <cellStyleXfs count="2">
    <xf numFmtId="0" fontId="0" fillId="0" borderId="0"/>
    <xf numFmtId="9" fontId="1" fillId="0" borderId="0" applyFont="0" applyFill="0" applyBorder="0" applyAlignment="0" applyProtection="0"/>
  </cellStyleXfs>
  <cellXfs count="267">
    <xf numFmtId="0" fontId="0" fillId="0" borderId="0" xfId="0"/>
    <xf numFmtId="0" fontId="0" fillId="0" borderId="0" xfId="0" applyAlignment="1">
      <alignment horizontal="right"/>
    </xf>
    <xf numFmtId="0" fontId="2" fillId="0" borderId="0" xfId="0" applyFont="1"/>
    <xf numFmtId="0" fontId="2" fillId="0" borderId="0" xfId="0" applyFont="1" applyAlignment="1">
      <alignment horizontal="left"/>
    </xf>
    <xf numFmtId="0" fontId="0" fillId="0" borderId="0" xfId="0" applyAlignment="1">
      <alignment horizontal="left"/>
    </xf>
    <xf numFmtId="2" fontId="4" fillId="0" borderId="0" xfId="0" applyNumberFormat="1" applyFont="1" applyAlignment="1">
      <alignment horizontal="left"/>
    </xf>
    <xf numFmtId="0" fontId="5" fillId="0" borderId="0" xfId="0" applyFont="1" applyAlignment="1">
      <alignment horizontal="right"/>
    </xf>
    <xf numFmtId="0" fontId="0" fillId="0" borderId="0" xfId="0" applyAlignment="1">
      <alignment horizontal="center"/>
    </xf>
    <xf numFmtId="0" fontId="0" fillId="0" borderId="1" xfId="0" applyBorder="1"/>
    <xf numFmtId="0" fontId="0" fillId="0" borderId="1" xfId="0" applyBorder="1" applyAlignment="1">
      <alignment horizontal="center"/>
    </xf>
    <xf numFmtId="0" fontId="0" fillId="0" borderId="0" xfId="0" applyBorder="1"/>
    <xf numFmtId="0" fontId="0" fillId="0" borderId="0" xfId="0" applyBorder="1" applyAlignment="1">
      <alignment horizontal="center"/>
    </xf>
    <xf numFmtId="0" fontId="5" fillId="0" borderId="0" xfId="0" applyFont="1" applyBorder="1"/>
    <xf numFmtId="0" fontId="11" fillId="0" borderId="0" xfId="0" applyFont="1" applyBorder="1"/>
    <xf numFmtId="13" fontId="0" fillId="0" borderId="0" xfId="0" applyNumberFormat="1" applyBorder="1" applyAlignment="1">
      <alignment horizontal="center"/>
    </xf>
    <xf numFmtId="165" fontId="0" fillId="0" borderId="0" xfId="0" applyNumberFormat="1" applyBorder="1" applyAlignment="1">
      <alignment horizontal="center"/>
    </xf>
    <xf numFmtId="0" fontId="8" fillId="0" borderId="0" xfId="0" applyFont="1" applyBorder="1" applyAlignment="1">
      <alignment horizontal="center"/>
    </xf>
    <xf numFmtId="165" fontId="7" fillId="0" borderId="0" xfId="0" applyNumberFormat="1" applyFont="1" applyBorder="1" applyAlignment="1">
      <alignment horizontal="center"/>
    </xf>
    <xf numFmtId="0" fontId="0" fillId="0" borderId="2" xfId="0" applyBorder="1"/>
    <xf numFmtId="0" fontId="0" fillId="0" borderId="2" xfId="0" applyBorder="1" applyAlignment="1">
      <alignment horizontal="center"/>
    </xf>
    <xf numFmtId="0" fontId="0" fillId="0" borderId="1" xfId="0" applyBorder="1" applyAlignment="1">
      <alignment horizontal="right"/>
    </xf>
    <xf numFmtId="0" fontId="0" fillId="0" borderId="0" xfId="0" applyBorder="1" applyAlignment="1">
      <alignment horizontal="right"/>
    </xf>
    <xf numFmtId="0" fontId="0" fillId="0" borderId="2" xfId="0" applyBorder="1" applyAlignment="1">
      <alignment horizontal="right"/>
    </xf>
    <xf numFmtId="0" fontId="0" fillId="0" borderId="3" xfId="0" applyBorder="1"/>
    <xf numFmtId="0" fontId="0" fillId="0" borderId="4" xfId="0" applyBorder="1"/>
    <xf numFmtId="0" fontId="0" fillId="0" borderId="5" xfId="0" applyBorder="1"/>
    <xf numFmtId="13" fontId="0" fillId="0" borderId="2" xfId="0" applyNumberFormat="1" applyBorder="1" applyAlignment="1">
      <alignment horizontal="center"/>
    </xf>
    <xf numFmtId="165" fontId="0" fillId="0" borderId="2" xfId="0" applyNumberFormat="1" applyBorder="1" applyAlignment="1">
      <alignment horizontal="center"/>
    </xf>
    <xf numFmtId="0" fontId="8" fillId="0" borderId="2" xfId="0" applyFont="1" applyBorder="1" applyAlignment="1">
      <alignment horizontal="center"/>
    </xf>
    <xf numFmtId="0" fontId="0" fillId="0" borderId="0" xfId="0" applyFill="1" applyBorder="1" applyAlignment="1">
      <alignment horizontal="right"/>
    </xf>
    <xf numFmtId="165" fontId="12" fillId="0" borderId="0" xfId="0" applyNumberFormat="1" applyFont="1" applyBorder="1" applyAlignment="1">
      <alignment horizontal="center"/>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applyAlignment="1">
      <alignment horizontal="center"/>
    </xf>
    <xf numFmtId="0" fontId="0" fillId="0" borderId="10" xfId="0" applyBorder="1"/>
    <xf numFmtId="0" fontId="0" fillId="0" borderId="11" xfId="0" applyBorder="1"/>
    <xf numFmtId="0" fontId="0" fillId="0" borderId="12" xfId="0" applyBorder="1"/>
    <xf numFmtId="0" fontId="0" fillId="0" borderId="12"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0" fillId="0" borderId="0" xfId="0" applyAlignment="1">
      <alignment wrapText="1"/>
    </xf>
    <xf numFmtId="0" fontId="2" fillId="0" borderId="0" xfId="0" applyFont="1" applyAlignment="1">
      <alignment horizontal="center"/>
    </xf>
    <xf numFmtId="0" fontId="1" fillId="0" borderId="0" xfId="0" applyFont="1" applyBorder="1" applyAlignment="1">
      <alignment horizontal="center"/>
    </xf>
    <xf numFmtId="0" fontId="0" fillId="0" borderId="0" xfId="0" applyBorder="1" applyAlignment="1">
      <alignment horizontal="left"/>
    </xf>
    <xf numFmtId="1" fontId="0" fillId="0" borderId="0" xfId="0" applyNumberFormat="1" applyAlignment="1">
      <alignment horizontal="left"/>
    </xf>
    <xf numFmtId="0" fontId="8" fillId="0" borderId="0" xfId="0" applyFont="1" applyBorder="1"/>
    <xf numFmtId="0" fontId="8" fillId="0" borderId="10" xfId="0" applyFont="1" applyBorder="1" applyAlignment="1">
      <alignment horizontal="center"/>
    </xf>
    <xf numFmtId="0" fontId="14" fillId="0" borderId="0" xfId="0" applyFont="1" applyAlignment="1">
      <alignment horizontal="center"/>
    </xf>
    <xf numFmtId="0" fontId="0" fillId="0" borderId="0" xfId="0" applyAlignment="1"/>
    <xf numFmtId="0" fontId="14" fillId="0" borderId="0" xfId="0" applyFont="1" applyAlignment="1">
      <alignment horizontal="left"/>
    </xf>
    <xf numFmtId="0" fontId="0" fillId="0" borderId="14" xfId="0" applyBorder="1"/>
    <xf numFmtId="0" fontId="1" fillId="0" borderId="10" xfId="0" applyFont="1" applyBorder="1" applyAlignment="1">
      <alignment horizontal="center"/>
    </xf>
    <xf numFmtId="0" fontId="8" fillId="0" borderId="0" xfId="0" applyFont="1" applyAlignment="1">
      <alignment horizontal="center"/>
    </xf>
    <xf numFmtId="0" fontId="8" fillId="0" borderId="12" xfId="0" applyFont="1" applyBorder="1" applyAlignment="1">
      <alignment horizontal="center"/>
    </xf>
    <xf numFmtId="0" fontId="8" fillId="0" borderId="13" xfId="0" applyFont="1" applyBorder="1" applyAlignment="1">
      <alignment horizontal="center"/>
    </xf>
    <xf numFmtId="0" fontId="15" fillId="0" borderId="0" xfId="0" applyFont="1" applyAlignment="1">
      <alignment horizontal="left"/>
    </xf>
    <xf numFmtId="0" fontId="16" fillId="0" borderId="0" xfId="0" applyFont="1" applyAlignment="1">
      <alignment horizontal="left"/>
    </xf>
    <xf numFmtId="0" fontId="2" fillId="2" borderId="0" xfId="0" applyFont="1" applyFill="1" applyAlignment="1" applyProtection="1">
      <alignment horizontal="left"/>
      <protection locked="0"/>
    </xf>
    <xf numFmtId="0" fontId="2" fillId="2" borderId="0" xfId="0" applyFont="1" applyFill="1" applyAlignment="1" applyProtection="1">
      <alignment horizontal="center"/>
      <protection locked="0"/>
    </xf>
    <xf numFmtId="0" fontId="2" fillId="2" borderId="15" xfId="0" applyFont="1" applyFill="1" applyBorder="1" applyAlignment="1" applyProtection="1">
      <alignment horizontal="center"/>
      <protection locked="0"/>
    </xf>
    <xf numFmtId="1" fontId="2" fillId="2" borderId="0" xfId="0" applyNumberFormat="1" applyFont="1" applyFill="1" applyAlignment="1" applyProtection="1">
      <alignment horizontal="left"/>
      <protection locked="0"/>
    </xf>
    <xf numFmtId="0" fontId="2" fillId="3" borderId="0" xfId="0" applyFont="1" applyFill="1" applyAlignment="1">
      <alignment horizontal="left"/>
    </xf>
    <xf numFmtId="2" fontId="2" fillId="3" borderId="0" xfId="0" applyNumberFormat="1" applyFont="1" applyFill="1" applyAlignment="1">
      <alignment horizontal="left"/>
    </xf>
    <xf numFmtId="0" fontId="2" fillId="0" borderId="0" xfId="0" applyFont="1" applyFill="1" applyAlignment="1">
      <alignment horizontal="center"/>
    </xf>
    <xf numFmtId="0" fontId="0" fillId="3" borderId="0" xfId="0" applyFill="1" applyAlignment="1">
      <alignment horizontal="center"/>
    </xf>
    <xf numFmtId="0" fontId="2" fillId="3" borderId="0" xfId="0" applyFont="1" applyFill="1"/>
    <xf numFmtId="0" fontId="0" fillId="3" borderId="0" xfId="0" applyFill="1"/>
    <xf numFmtId="0" fontId="2" fillId="3" borderId="0" xfId="0" applyFont="1" applyFill="1" applyAlignment="1">
      <alignment horizontal="center"/>
    </xf>
    <xf numFmtId="0" fontId="1" fillId="0" borderId="0" xfId="0" applyFont="1"/>
    <xf numFmtId="0" fontId="1" fillId="0" borderId="0" xfId="0" applyFont="1" applyAlignment="1">
      <alignment horizontal="right"/>
    </xf>
    <xf numFmtId="167" fontId="0" fillId="2" borderId="0" xfId="0" applyNumberFormat="1" applyFill="1" applyAlignment="1" applyProtection="1">
      <alignment horizontal="left"/>
      <protection locked="0"/>
    </xf>
    <xf numFmtId="0" fontId="0" fillId="0" borderId="0" xfId="0" applyFill="1" applyProtection="1">
      <protection locked="0"/>
    </xf>
    <xf numFmtId="0" fontId="0" fillId="0" borderId="0" xfId="0" applyFill="1"/>
    <xf numFmtId="0" fontId="0" fillId="0" borderId="0" xfId="0" applyFill="1" applyAlignment="1">
      <alignment horizontal="right"/>
    </xf>
    <xf numFmtId="0" fontId="0" fillId="0" borderId="0" xfId="0" applyFill="1" applyBorder="1"/>
    <xf numFmtId="0" fontId="17" fillId="0" borderId="0" xfId="0" applyFont="1" applyBorder="1" applyAlignment="1">
      <alignment horizontal="center"/>
    </xf>
    <xf numFmtId="0" fontId="14" fillId="0" borderId="0" xfId="0" applyFont="1" applyBorder="1" applyAlignment="1"/>
    <xf numFmtId="0" fontId="16" fillId="0" borderId="0" xfId="0" applyFont="1" applyBorder="1" applyAlignment="1">
      <alignment horizontal="right"/>
    </xf>
    <xf numFmtId="0" fontId="1" fillId="0" borderId="0" xfId="0" applyFont="1" applyBorder="1" applyAlignment="1"/>
    <xf numFmtId="0" fontId="2" fillId="0" borderId="0" xfId="0" applyFont="1" applyFill="1" applyAlignment="1" applyProtection="1">
      <alignment horizontal="left"/>
      <protection locked="0"/>
    </xf>
    <xf numFmtId="0" fontId="2" fillId="2" borderId="0" xfId="0" applyFont="1" applyFill="1" applyBorder="1" applyAlignment="1" applyProtection="1">
      <alignment horizontal="left"/>
      <protection locked="0"/>
    </xf>
    <xf numFmtId="0" fontId="16" fillId="0" borderId="0" xfId="0" applyFont="1" applyFill="1" applyAlignment="1" applyProtection="1">
      <alignment horizontal="left"/>
      <protection locked="0"/>
    </xf>
    <xf numFmtId="0" fontId="2" fillId="3" borderId="0" xfId="0" applyFont="1" applyFill="1" applyAlignment="1" applyProtection="1">
      <alignment horizontal="left"/>
    </xf>
    <xf numFmtId="0" fontId="19" fillId="0" borderId="0" xfId="0" applyFont="1" applyAlignment="1">
      <alignment horizontal="center"/>
    </xf>
    <xf numFmtId="0" fontId="15" fillId="0" borderId="0" xfId="0" applyFont="1" applyAlignment="1">
      <alignment horizontal="center"/>
    </xf>
    <xf numFmtId="49" fontId="0" fillId="0" borderId="0" xfId="0" applyNumberFormat="1" applyFill="1" applyAlignment="1" applyProtection="1">
      <alignment horizontal="left"/>
    </xf>
    <xf numFmtId="0" fontId="0" fillId="0" borderId="0" xfId="0" applyFill="1" applyAlignment="1" applyProtection="1">
      <alignment horizontal="left"/>
    </xf>
    <xf numFmtId="0" fontId="0" fillId="0" borderId="0" xfId="0" applyFill="1" applyProtection="1"/>
    <xf numFmtId="167" fontId="0" fillId="0" borderId="0" xfId="0" applyNumberFormat="1" applyFill="1" applyAlignment="1" applyProtection="1">
      <alignment horizontal="left"/>
    </xf>
    <xf numFmtId="0" fontId="0" fillId="0" borderId="0" xfId="0" applyAlignment="1" applyProtection="1">
      <alignment horizontal="right"/>
    </xf>
    <xf numFmtId="0" fontId="1" fillId="3" borderId="0" xfId="0" applyFont="1" applyFill="1" applyAlignment="1">
      <alignment horizontal="left"/>
    </xf>
    <xf numFmtId="0" fontId="1" fillId="3" borderId="0" xfId="0" applyFont="1" applyFill="1"/>
    <xf numFmtId="0" fontId="14" fillId="0" borderId="0" xfId="0" applyFont="1" applyAlignment="1">
      <alignment horizontal="right"/>
    </xf>
    <xf numFmtId="2" fontId="1" fillId="3" borderId="0" xfId="0" applyNumberFormat="1" applyFont="1" applyFill="1" applyAlignment="1">
      <alignment horizontal="left"/>
    </xf>
    <xf numFmtId="0" fontId="2" fillId="3" borderId="0" xfId="0" applyFont="1" applyFill="1" applyAlignment="1">
      <alignment horizontal="right"/>
    </xf>
    <xf numFmtId="0" fontId="0" fillId="0" borderId="0" xfId="0" quotePrefix="1"/>
    <xf numFmtId="167" fontId="0" fillId="0" borderId="0" xfId="0" applyNumberFormat="1" applyFill="1" applyAlignment="1" applyProtection="1">
      <alignment horizontal="left"/>
      <protection locked="0"/>
    </xf>
    <xf numFmtId="0" fontId="0" fillId="0" borderId="16" xfId="0" applyBorder="1"/>
    <xf numFmtId="0" fontId="0" fillId="0" borderId="17" xfId="0" applyBorder="1"/>
    <xf numFmtId="165" fontId="0" fillId="0" borderId="0" xfId="0" applyNumberFormat="1" applyAlignment="1">
      <alignment horizontal="center"/>
    </xf>
    <xf numFmtId="164" fontId="0" fillId="0" borderId="0" xfId="0" applyNumberFormat="1" applyAlignment="1">
      <alignment horizontal="center"/>
    </xf>
    <xf numFmtId="0" fontId="0" fillId="0" borderId="18" xfId="0" applyBorder="1"/>
    <xf numFmtId="0" fontId="0" fillId="0" borderId="18" xfId="0" applyBorder="1" applyAlignment="1">
      <alignment horizontal="right"/>
    </xf>
    <xf numFmtId="0" fontId="0" fillId="0" borderId="18" xfId="0" applyBorder="1" applyAlignment="1">
      <alignment horizontal="left"/>
    </xf>
    <xf numFmtId="0" fontId="14" fillId="0" borderId="18" xfId="0" applyFont="1" applyBorder="1"/>
    <xf numFmtId="0" fontId="0" fillId="0" borderId="19" xfId="0" applyBorder="1"/>
    <xf numFmtId="0" fontId="0" fillId="0" borderId="19" xfId="0" applyBorder="1" applyAlignment="1">
      <alignment wrapText="1"/>
    </xf>
    <xf numFmtId="13" fontId="2" fillId="0" borderId="0" xfId="0" applyNumberFormat="1" applyFont="1" applyFill="1" applyAlignment="1" applyProtection="1">
      <alignment horizontal="left"/>
    </xf>
    <xf numFmtId="2" fontId="16" fillId="3" borderId="0" xfId="0" applyNumberFormat="1" applyFont="1" applyFill="1" applyAlignment="1" applyProtection="1">
      <alignment horizontal="left"/>
    </xf>
    <xf numFmtId="0" fontId="0" fillId="0" borderId="0" xfId="0" applyAlignment="1" applyProtection="1">
      <alignment horizontal="left"/>
    </xf>
    <xf numFmtId="2" fontId="0" fillId="3" borderId="0" xfId="0" applyNumberFormat="1" applyFill="1" applyAlignment="1" applyProtection="1">
      <alignment horizontal="left"/>
    </xf>
    <xf numFmtId="0" fontId="2" fillId="0" borderId="0" xfId="0" applyFont="1" applyFill="1" applyAlignment="1" applyProtection="1">
      <alignment horizontal="center"/>
      <protection locked="0"/>
    </xf>
    <xf numFmtId="0" fontId="0" fillId="0" borderId="19" xfId="0" applyBorder="1" applyAlignment="1">
      <alignment horizontal="left"/>
    </xf>
    <xf numFmtId="2" fontId="0" fillId="0" borderId="0" xfId="0" applyNumberFormat="1"/>
    <xf numFmtId="10" fontId="0" fillId="3" borderId="0" xfId="1" applyNumberFormat="1" applyFont="1" applyFill="1" applyAlignment="1">
      <alignment horizontal="center"/>
    </xf>
    <xf numFmtId="1" fontId="2" fillId="2" borderId="0" xfId="0" applyNumberFormat="1" applyFont="1" applyFill="1" applyAlignment="1" applyProtection="1">
      <alignment horizontal="center"/>
      <protection locked="0"/>
    </xf>
    <xf numFmtId="2" fontId="0" fillId="3" borderId="0" xfId="0" applyNumberFormat="1" applyFill="1" applyAlignment="1">
      <alignment horizontal="left"/>
    </xf>
    <xf numFmtId="1" fontId="2" fillId="3" borderId="0" xfId="0" applyNumberFormat="1" applyFont="1" applyFill="1" applyAlignment="1" applyProtection="1">
      <alignment horizontal="left"/>
    </xf>
    <xf numFmtId="168" fontId="0" fillId="3" borderId="0" xfId="0" applyNumberFormat="1" applyFill="1" applyAlignment="1">
      <alignment horizontal="left"/>
    </xf>
    <xf numFmtId="0" fontId="0" fillId="4" borderId="0" xfId="0" applyFill="1"/>
    <xf numFmtId="0" fontId="0" fillId="0" borderId="0" xfId="0" applyProtection="1"/>
    <xf numFmtId="0" fontId="0" fillId="4" borderId="0" xfId="0" applyFill="1" applyProtection="1"/>
    <xf numFmtId="0" fontId="0" fillId="0" borderId="0" xfId="0" applyAlignment="1" applyProtection="1"/>
    <xf numFmtId="0" fontId="0" fillId="0" borderId="16" xfId="0" applyBorder="1" applyProtection="1"/>
    <xf numFmtId="0" fontId="0" fillId="0" borderId="17" xfId="0" applyBorder="1" applyProtection="1"/>
    <xf numFmtId="0" fontId="0" fillId="0" borderId="0" xfId="0" applyBorder="1" applyProtection="1"/>
    <xf numFmtId="0" fontId="0" fillId="0" borderId="0" xfId="0" applyBorder="1" applyAlignment="1" applyProtection="1">
      <alignment horizontal="left"/>
    </xf>
    <xf numFmtId="0" fontId="17" fillId="0" borderId="0" xfId="0" applyFont="1" applyBorder="1" applyAlignment="1" applyProtection="1">
      <alignment horizontal="center"/>
    </xf>
    <xf numFmtId="0" fontId="14" fillId="0" borderId="0" xfId="0" applyFont="1" applyBorder="1" applyAlignment="1" applyProtection="1"/>
    <xf numFmtId="0" fontId="1" fillId="0" borderId="0" xfId="0" applyFont="1" applyBorder="1" applyAlignment="1" applyProtection="1"/>
    <xf numFmtId="0" fontId="16" fillId="0" borderId="0" xfId="0" applyFont="1" applyBorder="1" applyAlignment="1" applyProtection="1">
      <alignment horizontal="right"/>
    </xf>
    <xf numFmtId="0" fontId="2" fillId="0" borderId="0" xfId="0" applyFont="1" applyAlignment="1" applyProtection="1">
      <alignment horizontal="left"/>
    </xf>
    <xf numFmtId="0" fontId="2" fillId="0" borderId="0" xfId="0" applyFont="1" applyFill="1" applyAlignment="1" applyProtection="1">
      <alignment horizontal="left"/>
    </xf>
    <xf numFmtId="0" fontId="2" fillId="0" borderId="0" xfId="0" applyFont="1" applyProtection="1"/>
    <xf numFmtId="0" fontId="16" fillId="0" borderId="0" xfId="0" applyFont="1" applyFill="1" applyAlignment="1" applyProtection="1">
      <alignment horizontal="left"/>
    </xf>
    <xf numFmtId="0" fontId="5" fillId="0" borderId="0" xfId="0" applyFont="1" applyAlignment="1" applyProtection="1">
      <alignment horizontal="right"/>
    </xf>
    <xf numFmtId="2" fontId="4" fillId="0" borderId="0" xfId="0" applyNumberFormat="1" applyFont="1" applyAlignment="1" applyProtection="1">
      <alignment horizontal="left"/>
    </xf>
    <xf numFmtId="0" fontId="1" fillId="0" borderId="0" xfId="0" applyFont="1" applyProtection="1"/>
    <xf numFmtId="0" fontId="1" fillId="0" borderId="0" xfId="0" applyFont="1" applyAlignment="1" applyProtection="1">
      <alignment horizontal="right"/>
    </xf>
    <xf numFmtId="2" fontId="1" fillId="3" borderId="0" xfId="0" applyNumberFormat="1" applyFont="1" applyFill="1" applyAlignment="1" applyProtection="1">
      <alignment horizontal="left"/>
    </xf>
    <xf numFmtId="0" fontId="0" fillId="0" borderId="18" xfId="0" applyBorder="1" applyProtection="1"/>
    <xf numFmtId="0" fontId="0" fillId="0" borderId="18" xfId="0" applyBorder="1" applyAlignment="1" applyProtection="1">
      <alignment horizontal="right"/>
    </xf>
    <xf numFmtId="0" fontId="0" fillId="0" borderId="18" xfId="0" applyBorder="1" applyAlignment="1" applyProtection="1">
      <alignment horizontal="left"/>
    </xf>
    <xf numFmtId="0" fontId="2" fillId="3" borderId="0" xfId="0" applyFont="1" applyFill="1" applyProtection="1"/>
    <xf numFmtId="0" fontId="0" fillId="3" borderId="0" xfId="0" applyFill="1" applyProtection="1"/>
    <xf numFmtId="0" fontId="1" fillId="3" borderId="0" xfId="0" applyFont="1" applyFill="1" applyAlignment="1" applyProtection="1">
      <alignment horizontal="left"/>
    </xf>
    <xf numFmtId="0" fontId="1" fillId="3" borderId="0" xfId="0" applyFont="1" applyFill="1" applyProtection="1"/>
    <xf numFmtId="0" fontId="0" fillId="0" borderId="0" xfId="0" applyAlignment="1" applyProtection="1">
      <alignment wrapText="1"/>
    </xf>
    <xf numFmtId="0" fontId="16" fillId="0" borderId="0" xfId="0" applyFont="1" applyAlignment="1" applyProtection="1">
      <alignment horizontal="left"/>
    </xf>
    <xf numFmtId="0" fontId="0" fillId="0" borderId="0" xfId="0" applyAlignment="1" applyProtection="1">
      <alignment horizontal="center"/>
    </xf>
    <xf numFmtId="10" fontId="0" fillId="0" borderId="0" xfId="1" applyNumberFormat="1" applyFont="1" applyAlignment="1" applyProtection="1">
      <alignment horizontal="center"/>
    </xf>
    <xf numFmtId="0" fontId="0" fillId="0" borderId="0" xfId="0" applyFill="1" applyAlignment="1" applyProtection="1">
      <alignment horizontal="right"/>
    </xf>
    <xf numFmtId="0" fontId="0" fillId="0" borderId="0" xfId="0" applyFill="1" applyBorder="1" applyProtection="1"/>
    <xf numFmtId="0" fontId="0" fillId="0" borderId="19" xfId="0" applyBorder="1" applyProtection="1"/>
    <xf numFmtId="0" fontId="0" fillId="0" borderId="19" xfId="0" applyBorder="1" applyAlignment="1" applyProtection="1">
      <alignment wrapText="1"/>
    </xf>
    <xf numFmtId="1" fontId="0" fillId="0" borderId="0" xfId="0" applyNumberFormat="1" applyAlignment="1" applyProtection="1">
      <alignment horizontal="left"/>
    </xf>
    <xf numFmtId="2" fontId="2" fillId="3" borderId="0" xfId="0" applyNumberFormat="1" applyFont="1" applyFill="1" applyAlignment="1" applyProtection="1">
      <alignment horizontal="left"/>
    </xf>
    <xf numFmtId="0" fontId="15" fillId="0" borderId="0" xfId="0" applyFont="1" applyAlignment="1" applyProtection="1">
      <alignment horizontal="left"/>
    </xf>
    <xf numFmtId="0" fontId="14" fillId="0" borderId="0" xfId="0" applyFont="1" applyAlignment="1" applyProtection="1">
      <alignment horizontal="right"/>
    </xf>
    <xf numFmtId="0" fontId="14" fillId="0" borderId="0" xfId="0" applyFont="1" applyAlignment="1" applyProtection="1">
      <alignment horizontal="center"/>
    </xf>
    <xf numFmtId="0" fontId="14" fillId="0" borderId="0" xfId="0" applyFont="1" applyAlignment="1" applyProtection="1">
      <alignment horizontal="left"/>
    </xf>
    <xf numFmtId="0" fontId="19" fillId="0" borderId="0" xfId="0" applyFont="1" applyAlignment="1" applyProtection="1">
      <alignment horizontal="center"/>
    </xf>
    <xf numFmtId="0" fontId="2" fillId="0" borderId="0" xfId="0" applyFont="1" applyAlignment="1" applyProtection="1">
      <alignment horizontal="center"/>
    </xf>
    <xf numFmtId="165" fontId="0" fillId="0" borderId="0" xfId="0" applyNumberFormat="1" applyAlignment="1" applyProtection="1">
      <alignment horizontal="center"/>
    </xf>
    <xf numFmtId="164" fontId="0" fillId="0" borderId="0" xfId="0" applyNumberFormat="1" applyAlignment="1" applyProtection="1">
      <alignment horizontal="center"/>
    </xf>
    <xf numFmtId="0" fontId="15" fillId="0" borderId="0" xfId="0" applyFont="1" applyAlignment="1" applyProtection="1">
      <alignment horizontal="center"/>
    </xf>
    <xf numFmtId="0" fontId="2" fillId="3" borderId="0" xfId="0" applyFont="1" applyFill="1" applyAlignment="1" applyProtection="1">
      <alignment horizontal="right"/>
    </xf>
    <xf numFmtId="0" fontId="0" fillId="3" borderId="0" xfId="0" applyFill="1" applyAlignment="1" applyProtection="1">
      <alignment horizontal="center"/>
    </xf>
    <xf numFmtId="0" fontId="2" fillId="3" borderId="0" xfId="0" applyFont="1" applyFill="1" applyAlignment="1" applyProtection="1">
      <alignment horizontal="center"/>
    </xf>
    <xf numFmtId="0" fontId="2" fillId="0" borderId="0" xfId="0" applyFont="1" applyFill="1" applyAlignment="1" applyProtection="1">
      <alignment horizontal="center"/>
    </xf>
    <xf numFmtId="0" fontId="14" fillId="0" borderId="18" xfId="0" applyFont="1" applyBorder="1" applyProtection="1"/>
    <xf numFmtId="0" fontId="0" fillId="0" borderId="0" xfId="0" quotePrefix="1" applyProtection="1"/>
    <xf numFmtId="0" fontId="0" fillId="0" borderId="0" xfId="0" applyFill="1" applyBorder="1" applyAlignment="1">
      <alignment horizontal="center"/>
    </xf>
    <xf numFmtId="0" fontId="0" fillId="0" borderId="0" xfId="0" applyBorder="1" applyAlignment="1" applyProtection="1"/>
    <xf numFmtId="49" fontId="0" fillId="4" borderId="0" xfId="0" applyNumberFormat="1" applyFill="1" applyAlignment="1">
      <alignment horizontal="center"/>
    </xf>
    <xf numFmtId="166" fontId="0" fillId="4" borderId="0" xfId="0" applyNumberFormat="1" applyFill="1" applyAlignment="1">
      <alignment horizontal="center"/>
    </xf>
    <xf numFmtId="10" fontId="0" fillId="4" borderId="0" xfId="0" applyNumberFormat="1" applyFill="1" applyAlignment="1">
      <alignment horizontal="center"/>
    </xf>
    <xf numFmtId="0" fontId="0" fillId="4" borderId="0" xfId="0" applyFill="1" applyAlignment="1">
      <alignment horizontal="center"/>
    </xf>
    <xf numFmtId="0" fontId="14" fillId="4" borderId="0" xfId="0" applyFont="1" applyFill="1" applyAlignment="1">
      <alignment horizontal="center"/>
    </xf>
    <xf numFmtId="0" fontId="0" fillId="5" borderId="0" xfId="0" applyFill="1" applyAlignment="1">
      <alignment horizontal="right"/>
    </xf>
    <xf numFmtId="0" fontId="7" fillId="0" borderId="0" xfId="0" applyFont="1"/>
    <xf numFmtId="165" fontId="7" fillId="0" borderId="0" xfId="0" applyNumberFormat="1" applyFont="1" applyAlignment="1">
      <alignment horizontal="center"/>
    </xf>
    <xf numFmtId="0" fontId="5" fillId="0" borderId="0" xfId="0" applyFont="1" applyFill="1" applyBorder="1" applyAlignment="1">
      <alignment horizontal="center"/>
    </xf>
    <xf numFmtId="0" fontId="5" fillId="0" borderId="0" xfId="0" applyFont="1"/>
    <xf numFmtId="165" fontId="5" fillId="0" borderId="0" xfId="0" applyNumberFormat="1" applyFont="1" applyAlignment="1">
      <alignment horizontal="center"/>
    </xf>
    <xf numFmtId="0" fontId="0" fillId="0" borderId="3" xfId="0" applyBorder="1" applyAlignment="1">
      <alignment horizontal="center"/>
    </xf>
    <xf numFmtId="2" fontId="0" fillId="0" borderId="20" xfId="0" applyNumberFormat="1" applyBorder="1" applyAlignment="1">
      <alignment horizontal="center"/>
    </xf>
    <xf numFmtId="0" fontId="0" fillId="0" borderId="4" xfId="0" applyBorder="1" applyAlignment="1">
      <alignment horizontal="center"/>
    </xf>
    <xf numFmtId="2" fontId="0" fillId="0" borderId="21" xfId="0" applyNumberFormat="1" applyBorder="1" applyAlignment="1">
      <alignment horizontal="center"/>
    </xf>
    <xf numFmtId="0" fontId="0" fillId="0" borderId="5" xfId="0" applyBorder="1" applyAlignment="1">
      <alignment horizontal="center"/>
    </xf>
    <xf numFmtId="2" fontId="0" fillId="0" borderId="22" xfId="0" applyNumberFormat="1" applyBorder="1" applyAlignment="1">
      <alignment horizontal="center"/>
    </xf>
    <xf numFmtId="0" fontId="0" fillId="0" borderId="2" xfId="0" applyFill="1" applyBorder="1" applyAlignment="1">
      <alignment horizontal="center"/>
    </xf>
    <xf numFmtId="0" fontId="2" fillId="0" borderId="0" xfId="0" applyFont="1" applyFill="1" applyBorder="1" applyAlignment="1">
      <alignment horizontal="right"/>
    </xf>
    <xf numFmtId="0" fontId="2" fillId="0" borderId="0" xfId="0" applyFont="1" applyFill="1" applyBorder="1" applyAlignment="1">
      <alignment horizontal="center"/>
    </xf>
    <xf numFmtId="0" fontId="0" fillId="5" borderId="0" xfId="0" applyFill="1"/>
    <xf numFmtId="0" fontId="8" fillId="6" borderId="0" xfId="0" applyFont="1" applyFill="1" applyBorder="1" applyAlignment="1">
      <alignment horizontal="center"/>
    </xf>
    <xf numFmtId="165" fontId="7" fillId="6" borderId="0" xfId="0" applyNumberFormat="1" applyFont="1" applyFill="1" applyBorder="1" applyAlignment="1">
      <alignment horizontal="center"/>
    </xf>
    <xf numFmtId="0" fontId="0" fillId="6" borderId="0" xfId="0" applyFill="1" applyBorder="1"/>
    <xf numFmtId="0" fontId="0" fillId="6" borderId="0" xfId="0" applyFill="1" applyBorder="1" applyAlignment="1">
      <alignment horizontal="center"/>
    </xf>
    <xf numFmtId="0" fontId="8" fillId="6" borderId="2" xfId="0" applyFont="1" applyFill="1" applyBorder="1" applyAlignment="1">
      <alignment horizontal="center"/>
    </xf>
    <xf numFmtId="165" fontId="7" fillId="6" borderId="2" xfId="0" applyNumberFormat="1" applyFont="1" applyFill="1" applyBorder="1" applyAlignment="1">
      <alignment horizontal="center"/>
    </xf>
    <xf numFmtId="0" fontId="0" fillId="6" borderId="0" xfId="0" applyFill="1" applyProtection="1"/>
    <xf numFmtId="13" fontId="16" fillId="6" borderId="0" xfId="0" applyNumberFormat="1" applyFont="1" applyFill="1" applyAlignment="1" applyProtection="1">
      <alignment horizontal="left"/>
    </xf>
    <xf numFmtId="0" fontId="0" fillId="6" borderId="0" xfId="0" applyFill="1" applyAlignment="1" applyProtection="1">
      <alignment horizontal="left"/>
    </xf>
    <xf numFmtId="0" fontId="0" fillId="0" borderId="0" xfId="0" applyFill="1" applyAlignment="1" applyProtection="1">
      <alignment horizontal="right" wrapText="1"/>
    </xf>
    <xf numFmtId="0" fontId="0" fillId="0" borderId="0" xfId="0" applyAlignment="1" applyProtection="1">
      <alignment horizontal="center"/>
    </xf>
    <xf numFmtId="167" fontId="0" fillId="2" borderId="0" xfId="0" applyNumberFormat="1" applyFill="1" applyAlignment="1" applyProtection="1">
      <alignment horizontal="left" wrapText="1"/>
      <protection locked="0"/>
    </xf>
    <xf numFmtId="0" fontId="0" fillId="2" borderId="0" xfId="0" applyFill="1" applyAlignment="1" applyProtection="1">
      <alignment wrapText="1"/>
      <protection locked="0"/>
    </xf>
    <xf numFmtId="0" fontId="0" fillId="0" borderId="0" xfId="0" applyAlignment="1">
      <alignment horizontal="center"/>
    </xf>
    <xf numFmtId="0" fontId="19" fillId="0" borderId="3" xfId="0" applyFont="1" applyBorder="1" applyAlignment="1">
      <alignment horizontal="center" vertical="center"/>
    </xf>
    <xf numFmtId="0" fontId="19" fillId="0" borderId="1" xfId="0" applyFont="1" applyBorder="1" applyAlignment="1">
      <alignment horizontal="center" vertical="center"/>
    </xf>
    <xf numFmtId="0" fontId="19" fillId="0" borderId="20" xfId="0" applyFont="1" applyBorder="1" applyAlignment="1">
      <alignment horizontal="center" vertical="center"/>
    </xf>
    <xf numFmtId="0" fontId="19" fillId="0" borderId="4" xfId="0" applyFont="1" applyBorder="1" applyAlignment="1">
      <alignment horizontal="center" vertical="center"/>
    </xf>
    <xf numFmtId="0" fontId="19" fillId="0" borderId="0" xfId="0" applyFont="1" applyBorder="1" applyAlignment="1">
      <alignment horizontal="center" vertical="center"/>
    </xf>
    <xf numFmtId="0" fontId="19" fillId="0" borderId="21" xfId="0" applyFont="1" applyBorder="1" applyAlignment="1">
      <alignment horizontal="center" vertical="center"/>
    </xf>
    <xf numFmtId="0" fontId="19" fillId="0" borderId="5" xfId="0" applyFont="1" applyBorder="1" applyAlignment="1">
      <alignment horizontal="center" vertical="center"/>
    </xf>
    <xf numFmtId="0" fontId="19" fillId="0" borderId="2" xfId="0" applyFont="1" applyBorder="1" applyAlignment="1">
      <alignment horizontal="center" vertical="center"/>
    </xf>
    <xf numFmtId="0" fontId="19" fillId="0" borderId="22" xfId="0" applyFont="1" applyBorder="1" applyAlignment="1">
      <alignment horizontal="center" vertical="center"/>
    </xf>
    <xf numFmtId="0" fontId="0" fillId="2" borderId="0" xfId="0" applyFill="1" applyAlignment="1" applyProtection="1">
      <protection locked="0"/>
    </xf>
    <xf numFmtId="0" fontId="0" fillId="0" borderId="0" xfId="0" applyAlignment="1" applyProtection="1">
      <protection locked="0"/>
    </xf>
    <xf numFmtId="0" fontId="15" fillId="0" borderId="0" xfId="0" applyFont="1" applyAlignment="1" applyProtection="1">
      <alignment horizontal="right"/>
    </xf>
    <xf numFmtId="0" fontId="0" fillId="0" borderId="0" xfId="0" applyAlignment="1" applyProtection="1"/>
    <xf numFmtId="0" fontId="0" fillId="0" borderId="0" xfId="0" applyAlignment="1" applyProtection="1">
      <alignment wrapText="1"/>
    </xf>
    <xf numFmtId="0" fontId="25" fillId="0" borderId="0" xfId="0" applyFont="1" applyAlignment="1" applyProtection="1"/>
    <xf numFmtId="0" fontId="26" fillId="0" borderId="0" xfId="0" applyFont="1" applyAlignment="1"/>
    <xf numFmtId="0" fontId="0" fillId="0" borderId="0" xfId="0" applyAlignment="1" applyProtection="1">
      <alignment horizontal="right" wrapText="1"/>
    </xf>
    <xf numFmtId="0" fontId="0" fillId="0" borderId="0" xfId="0" applyFill="1" applyAlignment="1" applyProtection="1">
      <alignment horizontal="right" wrapText="1"/>
    </xf>
    <xf numFmtId="0" fontId="14" fillId="0" borderId="0" xfId="0" applyFont="1" applyAlignment="1" applyProtection="1">
      <alignment horizontal="center"/>
    </xf>
    <xf numFmtId="0" fontId="0" fillId="0" borderId="0" xfId="0" applyFill="1" applyAlignment="1" applyProtection="1">
      <alignment horizontal="right"/>
    </xf>
    <xf numFmtId="0" fontId="0" fillId="0" borderId="0" xfId="0" applyFill="1" applyAlignment="1" applyProtection="1"/>
    <xf numFmtId="0" fontId="0" fillId="0" borderId="0" xfId="0" applyAlignment="1"/>
    <xf numFmtId="0" fontId="17" fillId="0" borderId="0" xfId="0" applyFont="1" applyBorder="1" applyAlignment="1" applyProtection="1">
      <alignment horizontal="center"/>
    </xf>
    <xf numFmtId="0" fontId="14" fillId="0" borderId="0" xfId="0" applyFont="1" applyBorder="1" applyAlignment="1" applyProtection="1"/>
    <xf numFmtId="0" fontId="14" fillId="0" borderId="0" xfId="0" applyFont="1" applyAlignment="1" applyProtection="1"/>
    <xf numFmtId="0" fontId="25" fillId="0" borderId="0" xfId="0" applyFont="1" applyAlignment="1"/>
    <xf numFmtId="0" fontId="27" fillId="0" borderId="0" xfId="0" applyFont="1" applyAlignment="1"/>
    <xf numFmtId="0" fontId="0" fillId="0" borderId="0" xfId="0" applyAlignment="1">
      <alignment horizontal="right" wrapText="1"/>
    </xf>
    <xf numFmtId="0" fontId="0" fillId="0" borderId="0" xfId="0" applyAlignment="1">
      <alignment wrapText="1"/>
    </xf>
    <xf numFmtId="0" fontId="17" fillId="0" borderId="0" xfId="0" applyFont="1" applyBorder="1" applyAlignment="1">
      <alignment horizontal="center"/>
    </xf>
    <xf numFmtId="0" fontId="14" fillId="0" borderId="0" xfId="0" applyFont="1" applyBorder="1" applyAlignment="1"/>
    <xf numFmtId="0" fontId="14" fillId="0" borderId="0" xfId="0" applyFont="1" applyAlignment="1"/>
    <xf numFmtId="0" fontId="0" fillId="0" borderId="0" xfId="0" applyAlignment="1">
      <alignment horizontal="center"/>
    </xf>
    <xf numFmtId="0" fontId="18" fillId="0" borderId="18" xfId="0" applyFont="1" applyBorder="1" applyAlignment="1">
      <alignment horizontal="center"/>
    </xf>
    <xf numFmtId="0" fontId="15" fillId="0" borderId="0" xfId="0" applyFont="1" applyAlignment="1">
      <alignment horizontal="right"/>
    </xf>
    <xf numFmtId="0" fontId="14" fillId="0" borderId="0" xfId="0" applyFont="1" applyAlignment="1">
      <alignment horizontal="center"/>
    </xf>
    <xf numFmtId="0" fontId="2" fillId="3" borderId="0" xfId="0" applyFont="1" applyFill="1" applyAlignment="1">
      <alignment vertical="top" wrapText="1"/>
    </xf>
    <xf numFmtId="0" fontId="24" fillId="0" borderId="0" xfId="0" applyFont="1" applyAlignment="1">
      <alignment horizontal="center"/>
    </xf>
    <xf numFmtId="0" fontId="19" fillId="0" borderId="0" xfId="0" applyFont="1" applyAlignment="1">
      <alignment horizontal="center"/>
    </xf>
    <xf numFmtId="0" fontId="28" fillId="0" borderId="18" xfId="0" applyFont="1" applyBorder="1" applyAlignment="1" applyProtection="1">
      <alignment horizontal="center"/>
    </xf>
    <xf numFmtId="0" fontId="30" fillId="0" borderId="19" xfId="0" applyFont="1" applyBorder="1" applyAlignment="1" applyProtection="1">
      <alignment horizontal="center"/>
    </xf>
    <xf numFmtId="0" fontId="29" fillId="0" borderId="19" xfId="0" applyFont="1" applyBorder="1" applyAlignment="1">
      <alignment horizontal="center"/>
    </xf>
    <xf numFmtId="0" fontId="31" fillId="0" borderId="0" xfId="0" applyFont="1"/>
    <xf numFmtId="0" fontId="31" fillId="0" borderId="0" xfId="0" applyFont="1" applyBorder="1" applyAlignment="1">
      <alignment horizontal="left"/>
    </xf>
    <xf numFmtId="0" fontId="31" fillId="0" borderId="0" xfId="0" applyFont="1" applyBorder="1"/>
    <xf numFmtId="0" fontId="31" fillId="0" borderId="0" xfId="0" applyFont="1" applyAlignment="1">
      <alignment horizontal="center"/>
    </xf>
    <xf numFmtId="165" fontId="31" fillId="0" borderId="0" xfId="0" applyNumberFormat="1" applyFont="1" applyAlignment="1">
      <alignment horizontal="center"/>
    </xf>
    <xf numFmtId="165" fontId="31" fillId="0" borderId="0" xfId="0" applyNumberFormat="1" applyFont="1" applyBorder="1" applyAlignment="1">
      <alignment horizontal="center"/>
    </xf>
    <xf numFmtId="165" fontId="31" fillId="0" borderId="2" xfId="0" applyNumberFormat="1" applyFont="1" applyBorder="1" applyAlignment="1">
      <alignment horizontal="center"/>
    </xf>
    <xf numFmtId="0" fontId="31" fillId="0" borderId="1" xfId="0" applyFont="1" applyBorder="1" applyAlignment="1">
      <alignment horizontal="left"/>
    </xf>
    <xf numFmtId="165" fontId="31" fillId="6" borderId="0" xfId="0" applyNumberFormat="1" applyFont="1" applyFill="1" applyBorder="1" applyAlignment="1">
      <alignment horizontal="center"/>
    </xf>
    <xf numFmtId="165" fontId="31" fillId="6" borderId="2" xfId="0" applyNumberFormat="1" applyFont="1" applyFill="1" applyBorder="1" applyAlignment="1">
      <alignment horizontal="center"/>
    </xf>
    <xf numFmtId="0" fontId="32" fillId="6" borderId="0" xfId="0" applyFont="1" applyFill="1" applyBorder="1" applyAlignment="1">
      <alignment horizontal="center"/>
    </xf>
    <xf numFmtId="0" fontId="32" fillId="6" borderId="2" xfId="0" applyFont="1" applyFill="1" applyBorder="1" applyAlignment="1">
      <alignment horizontal="center"/>
    </xf>
    <xf numFmtId="0" fontId="33" fillId="3" borderId="0" xfId="0" applyFont="1" applyFill="1" applyAlignment="1" applyProtection="1">
      <alignment wrapText="1"/>
    </xf>
    <xf numFmtId="0" fontId="34" fillId="0" borderId="0" xfId="0" applyFont="1" applyAlignment="1" applyProtection="1">
      <alignment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9</xdr:col>
      <xdr:colOff>594360</xdr:colOff>
      <xdr:row>6</xdr:row>
      <xdr:rowOff>68580</xdr:rowOff>
    </xdr:from>
    <xdr:to>
      <xdr:col>17</xdr:col>
      <xdr:colOff>525780</xdr:colOff>
      <xdr:row>29</xdr:row>
      <xdr:rowOff>129540</xdr:rowOff>
    </xdr:to>
    <xdr:sp macro="" textlink="">
      <xdr:nvSpPr>
        <xdr:cNvPr id="2866" name="Rectangle 29" descr="Image of building and roof measurement for gutters">
          <a:extLst>
            <a:ext uri="{FF2B5EF4-FFF2-40B4-BE49-F238E27FC236}">
              <a16:creationId xmlns:a16="http://schemas.microsoft.com/office/drawing/2014/main" id="{8B76A86F-65F6-4443-BB53-2C8040C7B3DA}"/>
            </a:ext>
          </a:extLst>
        </xdr:cNvPr>
        <xdr:cNvSpPr>
          <a:spLocks noChangeArrowheads="1"/>
        </xdr:cNvSpPr>
      </xdr:nvSpPr>
      <xdr:spPr bwMode="auto">
        <a:xfrm>
          <a:off x="7155180" y="1074420"/>
          <a:ext cx="5715000" cy="40843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5</xdr:col>
      <xdr:colOff>388620</xdr:colOff>
      <xdr:row>32</xdr:row>
      <xdr:rowOff>30480</xdr:rowOff>
    </xdr:from>
    <xdr:to>
      <xdr:col>5</xdr:col>
      <xdr:colOff>571500</xdr:colOff>
      <xdr:row>33</xdr:row>
      <xdr:rowOff>137160</xdr:rowOff>
    </xdr:to>
    <xdr:sp macro="" textlink="">
      <xdr:nvSpPr>
        <xdr:cNvPr id="2867" name="Line 2">
          <a:extLst>
            <a:ext uri="{FF2B5EF4-FFF2-40B4-BE49-F238E27FC236}">
              <a16:creationId xmlns:a16="http://schemas.microsoft.com/office/drawing/2014/main" id="{B16DFB0E-AB08-4042-8B41-24461982388A}"/>
            </a:ext>
            <a:ext uri="{C183D7F6-B498-43B3-948B-1728B52AA6E4}">
              <adec:decorative xmlns:adec="http://schemas.microsoft.com/office/drawing/2017/decorative" val="1"/>
            </a:ext>
          </a:extLst>
        </xdr:cNvPr>
        <xdr:cNvSpPr>
          <a:spLocks noChangeShapeType="1"/>
        </xdr:cNvSpPr>
      </xdr:nvSpPr>
      <xdr:spPr bwMode="auto">
        <a:xfrm flipH="1">
          <a:off x="4358640" y="5562600"/>
          <a:ext cx="182880" cy="274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617220</xdr:colOff>
      <xdr:row>65</xdr:row>
      <xdr:rowOff>137160</xdr:rowOff>
    </xdr:from>
    <xdr:to>
      <xdr:col>7</xdr:col>
      <xdr:colOff>449580</xdr:colOff>
      <xdr:row>75</xdr:row>
      <xdr:rowOff>144780</xdr:rowOff>
    </xdr:to>
    <xdr:sp macro="" textlink="">
      <xdr:nvSpPr>
        <xdr:cNvPr id="2868" name="AutoShape 4" descr="Arrow directing the material ID Number selected should be placed in the appropriate box">
          <a:extLst>
            <a:ext uri="{FF2B5EF4-FFF2-40B4-BE49-F238E27FC236}">
              <a16:creationId xmlns:a16="http://schemas.microsoft.com/office/drawing/2014/main" id="{C3A55D7B-5815-4DB9-BF84-ADAF0780F730}"/>
            </a:ext>
          </a:extLst>
        </xdr:cNvPr>
        <xdr:cNvSpPr>
          <a:spLocks/>
        </xdr:cNvSpPr>
      </xdr:nvSpPr>
      <xdr:spPr bwMode="auto">
        <a:xfrm>
          <a:off x="5303520" y="11338560"/>
          <a:ext cx="457200" cy="1684020"/>
        </a:xfrm>
        <a:prstGeom prst="rightBrace">
          <a:avLst>
            <a:gd name="adj1" fmla="val 30694"/>
            <a:gd name="adj2" fmla="val 5000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83820</xdr:colOff>
      <xdr:row>78</xdr:row>
      <xdr:rowOff>121920</xdr:rowOff>
    </xdr:from>
    <xdr:to>
      <xdr:col>7</xdr:col>
      <xdr:colOff>266700</xdr:colOff>
      <xdr:row>80</xdr:row>
      <xdr:rowOff>106680</xdr:rowOff>
    </xdr:to>
    <xdr:sp macro="" textlink="">
      <xdr:nvSpPr>
        <xdr:cNvPr id="2869" name="Line 5">
          <a:extLst>
            <a:ext uri="{FF2B5EF4-FFF2-40B4-BE49-F238E27FC236}">
              <a16:creationId xmlns:a16="http://schemas.microsoft.com/office/drawing/2014/main" id="{5E7AA375-0B40-47FC-A967-9E599974EBB5}"/>
            </a:ext>
            <a:ext uri="{C183D7F6-B498-43B3-948B-1728B52AA6E4}">
              <adec:decorative xmlns:adec="http://schemas.microsoft.com/office/drawing/2017/decorative" val="1"/>
            </a:ext>
          </a:extLst>
        </xdr:cNvPr>
        <xdr:cNvSpPr>
          <a:spLocks noChangeShapeType="1"/>
        </xdr:cNvSpPr>
      </xdr:nvSpPr>
      <xdr:spPr bwMode="auto">
        <a:xfrm flipH="1">
          <a:off x="2133600" y="13525500"/>
          <a:ext cx="3444240" cy="32766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266700</xdr:colOff>
      <xdr:row>71</xdr:row>
      <xdr:rowOff>30480</xdr:rowOff>
    </xdr:from>
    <xdr:to>
      <xdr:col>7</xdr:col>
      <xdr:colOff>457200</xdr:colOff>
      <xdr:row>78</xdr:row>
      <xdr:rowOff>106680</xdr:rowOff>
    </xdr:to>
    <xdr:sp macro="" textlink="">
      <xdr:nvSpPr>
        <xdr:cNvPr id="2870" name="Line 6">
          <a:extLst>
            <a:ext uri="{FF2B5EF4-FFF2-40B4-BE49-F238E27FC236}">
              <a16:creationId xmlns:a16="http://schemas.microsoft.com/office/drawing/2014/main" id="{FEEA2407-700E-46C5-95B6-31F387C2ECB1}"/>
            </a:ext>
            <a:ext uri="{C183D7F6-B498-43B3-948B-1728B52AA6E4}">
              <adec:decorative xmlns:adec="http://schemas.microsoft.com/office/drawing/2017/decorative" val="1"/>
            </a:ext>
          </a:extLst>
        </xdr:cNvPr>
        <xdr:cNvSpPr>
          <a:spLocks noChangeShapeType="1"/>
        </xdr:cNvSpPr>
      </xdr:nvSpPr>
      <xdr:spPr bwMode="auto">
        <a:xfrm flipH="1">
          <a:off x="5577840" y="12237720"/>
          <a:ext cx="190500" cy="127254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205740</xdr:colOff>
      <xdr:row>12</xdr:row>
      <xdr:rowOff>91440</xdr:rowOff>
    </xdr:from>
    <xdr:to>
      <xdr:col>11</xdr:col>
      <xdr:colOff>403860</xdr:colOff>
      <xdr:row>17</xdr:row>
      <xdr:rowOff>144780</xdr:rowOff>
    </xdr:to>
    <xdr:sp macro="" textlink="">
      <xdr:nvSpPr>
        <xdr:cNvPr id="2871" name="Line 10">
          <a:extLst>
            <a:ext uri="{FF2B5EF4-FFF2-40B4-BE49-F238E27FC236}">
              <a16:creationId xmlns:a16="http://schemas.microsoft.com/office/drawing/2014/main" id="{530A9A77-54A6-4CEB-A602-A6DDFBB0217B}"/>
            </a:ext>
            <a:ext uri="{C183D7F6-B498-43B3-948B-1728B52AA6E4}">
              <adec:decorative xmlns:adec="http://schemas.microsoft.com/office/drawing/2017/decorative" val="1"/>
            </a:ext>
          </a:extLst>
        </xdr:cNvPr>
        <xdr:cNvSpPr>
          <a:spLocks noChangeShapeType="1"/>
        </xdr:cNvSpPr>
      </xdr:nvSpPr>
      <xdr:spPr bwMode="auto">
        <a:xfrm flipH="1">
          <a:off x="7391400" y="2103120"/>
          <a:ext cx="822960" cy="8915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419100</xdr:colOff>
      <xdr:row>12</xdr:row>
      <xdr:rowOff>91440</xdr:rowOff>
    </xdr:from>
    <xdr:to>
      <xdr:col>15</xdr:col>
      <xdr:colOff>457200</xdr:colOff>
      <xdr:row>12</xdr:row>
      <xdr:rowOff>91440</xdr:rowOff>
    </xdr:to>
    <xdr:sp macro="" textlink="">
      <xdr:nvSpPr>
        <xdr:cNvPr id="2872" name="Line 11">
          <a:extLst>
            <a:ext uri="{FF2B5EF4-FFF2-40B4-BE49-F238E27FC236}">
              <a16:creationId xmlns:a16="http://schemas.microsoft.com/office/drawing/2014/main" id="{995F554A-AA11-402C-AFAC-7EDD79EF0EF6}"/>
            </a:ext>
            <a:ext uri="{C183D7F6-B498-43B3-948B-1728B52AA6E4}">
              <adec:decorative xmlns:adec="http://schemas.microsoft.com/office/drawing/2017/decorative" val="1"/>
            </a:ext>
          </a:extLst>
        </xdr:cNvPr>
        <xdr:cNvSpPr>
          <a:spLocks noChangeShapeType="1"/>
        </xdr:cNvSpPr>
      </xdr:nvSpPr>
      <xdr:spPr bwMode="auto">
        <a:xfrm>
          <a:off x="8229600" y="2103120"/>
          <a:ext cx="25374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236220</xdr:colOff>
      <xdr:row>12</xdr:row>
      <xdr:rowOff>99060</xdr:rowOff>
    </xdr:from>
    <xdr:to>
      <xdr:col>15</xdr:col>
      <xdr:colOff>449580</xdr:colOff>
      <xdr:row>17</xdr:row>
      <xdr:rowOff>160020</xdr:rowOff>
    </xdr:to>
    <xdr:sp macro="" textlink="">
      <xdr:nvSpPr>
        <xdr:cNvPr id="2873" name="Line 12">
          <a:extLst>
            <a:ext uri="{FF2B5EF4-FFF2-40B4-BE49-F238E27FC236}">
              <a16:creationId xmlns:a16="http://schemas.microsoft.com/office/drawing/2014/main" id="{CACDD816-9426-4115-8C44-45C9085830E7}"/>
            </a:ext>
            <a:ext uri="{C183D7F6-B498-43B3-948B-1728B52AA6E4}">
              <adec:decorative xmlns:adec="http://schemas.microsoft.com/office/drawing/2017/decorative" val="1"/>
            </a:ext>
          </a:extLst>
        </xdr:cNvPr>
        <xdr:cNvSpPr>
          <a:spLocks noChangeShapeType="1"/>
        </xdr:cNvSpPr>
      </xdr:nvSpPr>
      <xdr:spPr bwMode="auto">
        <a:xfrm flipH="1">
          <a:off x="9921240" y="2110740"/>
          <a:ext cx="838200" cy="8991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213360</xdr:colOff>
      <xdr:row>17</xdr:row>
      <xdr:rowOff>137160</xdr:rowOff>
    </xdr:from>
    <xdr:to>
      <xdr:col>14</xdr:col>
      <xdr:colOff>220980</xdr:colOff>
      <xdr:row>17</xdr:row>
      <xdr:rowOff>137160</xdr:rowOff>
    </xdr:to>
    <xdr:sp macro="" textlink="">
      <xdr:nvSpPr>
        <xdr:cNvPr id="2874" name="Line 13">
          <a:extLst>
            <a:ext uri="{FF2B5EF4-FFF2-40B4-BE49-F238E27FC236}">
              <a16:creationId xmlns:a16="http://schemas.microsoft.com/office/drawing/2014/main" id="{FCA6D4CC-93B2-49ED-A851-A4522B84F4CA}"/>
            </a:ext>
            <a:ext uri="{C183D7F6-B498-43B3-948B-1728B52AA6E4}">
              <adec:decorative xmlns:adec="http://schemas.microsoft.com/office/drawing/2017/decorative" val="1"/>
            </a:ext>
          </a:extLst>
        </xdr:cNvPr>
        <xdr:cNvSpPr>
          <a:spLocks noChangeShapeType="1"/>
        </xdr:cNvSpPr>
      </xdr:nvSpPr>
      <xdr:spPr bwMode="auto">
        <a:xfrm>
          <a:off x="7399020" y="2987040"/>
          <a:ext cx="25069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472440</xdr:colOff>
      <xdr:row>12</xdr:row>
      <xdr:rowOff>99060</xdr:rowOff>
    </xdr:from>
    <xdr:to>
      <xdr:col>16</xdr:col>
      <xdr:colOff>525780</xdr:colOff>
      <xdr:row>16</xdr:row>
      <xdr:rowOff>38100</xdr:rowOff>
    </xdr:to>
    <xdr:sp macro="" textlink="">
      <xdr:nvSpPr>
        <xdr:cNvPr id="2875" name="Line 14">
          <a:extLst>
            <a:ext uri="{FF2B5EF4-FFF2-40B4-BE49-F238E27FC236}">
              <a16:creationId xmlns:a16="http://schemas.microsoft.com/office/drawing/2014/main" id="{718EBA8E-4087-456F-B49A-B9F3E8CDAB23}"/>
            </a:ext>
            <a:ext uri="{C183D7F6-B498-43B3-948B-1728B52AA6E4}">
              <adec:decorative xmlns:adec="http://schemas.microsoft.com/office/drawing/2017/decorative" val="1"/>
            </a:ext>
          </a:extLst>
        </xdr:cNvPr>
        <xdr:cNvSpPr>
          <a:spLocks noChangeShapeType="1"/>
        </xdr:cNvSpPr>
      </xdr:nvSpPr>
      <xdr:spPr bwMode="auto">
        <a:xfrm>
          <a:off x="10782300" y="2110740"/>
          <a:ext cx="678180" cy="609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304800</xdr:colOff>
      <xdr:row>17</xdr:row>
      <xdr:rowOff>137160</xdr:rowOff>
    </xdr:from>
    <xdr:to>
      <xdr:col>10</xdr:col>
      <xdr:colOff>304800</xdr:colOff>
      <xdr:row>25</xdr:row>
      <xdr:rowOff>160020</xdr:rowOff>
    </xdr:to>
    <xdr:sp macro="" textlink="">
      <xdr:nvSpPr>
        <xdr:cNvPr id="2876" name="Line 15">
          <a:extLst>
            <a:ext uri="{FF2B5EF4-FFF2-40B4-BE49-F238E27FC236}">
              <a16:creationId xmlns:a16="http://schemas.microsoft.com/office/drawing/2014/main" id="{DB18B207-CC05-46C0-95BF-05CB409132EA}"/>
            </a:ext>
            <a:ext uri="{C183D7F6-B498-43B3-948B-1728B52AA6E4}">
              <adec:decorative xmlns:adec="http://schemas.microsoft.com/office/drawing/2017/decorative" val="1"/>
            </a:ext>
          </a:extLst>
        </xdr:cNvPr>
        <xdr:cNvSpPr>
          <a:spLocks noChangeShapeType="1"/>
        </xdr:cNvSpPr>
      </xdr:nvSpPr>
      <xdr:spPr bwMode="auto">
        <a:xfrm>
          <a:off x="7490460" y="2987040"/>
          <a:ext cx="0" cy="1531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137160</xdr:colOff>
      <xdr:row>17</xdr:row>
      <xdr:rowOff>129540</xdr:rowOff>
    </xdr:from>
    <xdr:to>
      <xdr:col>14</xdr:col>
      <xdr:colOff>137160</xdr:colOff>
      <xdr:row>26</xdr:row>
      <xdr:rowOff>7620</xdr:rowOff>
    </xdr:to>
    <xdr:sp macro="" textlink="">
      <xdr:nvSpPr>
        <xdr:cNvPr id="2877" name="Line 16">
          <a:extLst>
            <a:ext uri="{FF2B5EF4-FFF2-40B4-BE49-F238E27FC236}">
              <a16:creationId xmlns:a16="http://schemas.microsoft.com/office/drawing/2014/main" id="{4D6C3D36-2DB0-46F2-A8B5-90C92FB9D1D8}"/>
            </a:ext>
            <a:ext uri="{C183D7F6-B498-43B3-948B-1728B52AA6E4}">
              <adec:decorative xmlns:adec="http://schemas.microsoft.com/office/drawing/2017/decorative" val="1"/>
            </a:ext>
          </a:extLst>
        </xdr:cNvPr>
        <xdr:cNvSpPr>
          <a:spLocks noChangeShapeType="1"/>
        </xdr:cNvSpPr>
      </xdr:nvSpPr>
      <xdr:spPr bwMode="auto">
        <a:xfrm>
          <a:off x="9822180" y="2979420"/>
          <a:ext cx="0" cy="15544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335280</xdr:colOff>
      <xdr:row>25</xdr:row>
      <xdr:rowOff>144780</xdr:rowOff>
    </xdr:from>
    <xdr:to>
      <xdr:col>14</xdr:col>
      <xdr:colOff>137160</xdr:colOff>
      <xdr:row>25</xdr:row>
      <xdr:rowOff>160020</xdr:rowOff>
    </xdr:to>
    <xdr:sp macro="" textlink="">
      <xdr:nvSpPr>
        <xdr:cNvPr id="2878" name="Line 17">
          <a:extLst>
            <a:ext uri="{FF2B5EF4-FFF2-40B4-BE49-F238E27FC236}">
              <a16:creationId xmlns:a16="http://schemas.microsoft.com/office/drawing/2014/main" id="{4DE12C61-E715-40A7-B846-A321DB8F7D41}"/>
            </a:ext>
            <a:ext uri="{C183D7F6-B498-43B3-948B-1728B52AA6E4}">
              <adec:decorative xmlns:adec="http://schemas.microsoft.com/office/drawing/2017/decorative" val="1"/>
            </a:ext>
          </a:extLst>
        </xdr:cNvPr>
        <xdr:cNvSpPr>
          <a:spLocks noChangeShapeType="1"/>
        </xdr:cNvSpPr>
      </xdr:nvSpPr>
      <xdr:spPr bwMode="auto">
        <a:xfrm flipV="1">
          <a:off x="7520940" y="4503420"/>
          <a:ext cx="2301240" cy="152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441960</xdr:colOff>
      <xdr:row>15</xdr:row>
      <xdr:rowOff>160020</xdr:rowOff>
    </xdr:from>
    <xdr:to>
      <xdr:col>16</xdr:col>
      <xdr:colOff>441960</xdr:colOff>
      <xdr:row>24</xdr:row>
      <xdr:rowOff>0</xdr:rowOff>
    </xdr:to>
    <xdr:sp macro="" textlink="">
      <xdr:nvSpPr>
        <xdr:cNvPr id="2879" name="Line 18">
          <a:extLst>
            <a:ext uri="{FF2B5EF4-FFF2-40B4-BE49-F238E27FC236}">
              <a16:creationId xmlns:a16="http://schemas.microsoft.com/office/drawing/2014/main" id="{F29DC65B-2E3F-4CB1-83AB-3DBBC9631BEA}"/>
            </a:ext>
            <a:ext uri="{C183D7F6-B498-43B3-948B-1728B52AA6E4}">
              <adec:decorative xmlns:adec="http://schemas.microsoft.com/office/drawing/2017/decorative" val="1"/>
            </a:ext>
          </a:extLst>
        </xdr:cNvPr>
        <xdr:cNvSpPr>
          <a:spLocks noChangeShapeType="1"/>
        </xdr:cNvSpPr>
      </xdr:nvSpPr>
      <xdr:spPr bwMode="auto">
        <a:xfrm>
          <a:off x="11376660" y="2674620"/>
          <a:ext cx="0" cy="1485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160020</xdr:colOff>
      <xdr:row>24</xdr:row>
      <xdr:rowOff>0</xdr:rowOff>
    </xdr:from>
    <xdr:to>
      <xdr:col>16</xdr:col>
      <xdr:colOff>449580</xdr:colOff>
      <xdr:row>25</xdr:row>
      <xdr:rowOff>144780</xdr:rowOff>
    </xdr:to>
    <xdr:sp macro="" textlink="">
      <xdr:nvSpPr>
        <xdr:cNvPr id="2880" name="Line 19">
          <a:extLst>
            <a:ext uri="{FF2B5EF4-FFF2-40B4-BE49-F238E27FC236}">
              <a16:creationId xmlns:a16="http://schemas.microsoft.com/office/drawing/2014/main" id="{A3F1B44B-8BC8-4BE2-BD95-04FCDC105874}"/>
            </a:ext>
            <a:ext uri="{C183D7F6-B498-43B3-948B-1728B52AA6E4}">
              <adec:decorative xmlns:adec="http://schemas.microsoft.com/office/drawing/2017/decorative" val="1"/>
            </a:ext>
          </a:extLst>
        </xdr:cNvPr>
        <xdr:cNvSpPr>
          <a:spLocks noChangeShapeType="1"/>
        </xdr:cNvSpPr>
      </xdr:nvSpPr>
      <xdr:spPr bwMode="auto">
        <a:xfrm flipV="1">
          <a:off x="9845040" y="4160520"/>
          <a:ext cx="153924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598170</xdr:colOff>
      <xdr:row>16</xdr:row>
      <xdr:rowOff>28575</xdr:rowOff>
    </xdr:from>
    <xdr:to>
      <xdr:col>12</xdr:col>
      <xdr:colOff>312420</xdr:colOff>
      <xdr:row>17</xdr:row>
      <xdr:rowOff>142875</xdr:rowOff>
    </xdr:to>
    <xdr:sp macro="" textlink="">
      <xdr:nvSpPr>
        <xdr:cNvPr id="2068" name="Text Box 20">
          <a:extLst>
            <a:ext uri="{FF2B5EF4-FFF2-40B4-BE49-F238E27FC236}">
              <a16:creationId xmlns:a16="http://schemas.microsoft.com/office/drawing/2014/main" id="{FCFF938F-A39D-43E5-87E6-3439CF38149B}"/>
            </a:ext>
          </a:extLst>
        </xdr:cNvPr>
        <xdr:cNvSpPr txBox="1">
          <a:spLocks noChangeArrowheads="1"/>
        </xdr:cNvSpPr>
      </xdr:nvSpPr>
      <xdr:spPr bwMode="auto">
        <a:xfrm>
          <a:off x="8191500" y="2619375"/>
          <a:ext cx="32385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US" sz="1800" b="1" i="0" u="none" strike="noStrike" baseline="0">
              <a:solidFill>
                <a:srgbClr val="000000"/>
              </a:solidFill>
              <a:latin typeface="Arial"/>
              <a:cs typeface="Arial"/>
            </a:rPr>
            <a:t>L</a:t>
          </a:r>
        </a:p>
      </xdr:txBody>
    </xdr:sp>
    <xdr:clientData/>
  </xdr:twoCellAnchor>
  <xdr:twoCellAnchor>
    <xdr:from>
      <xdr:col>12</xdr:col>
      <xdr:colOff>236220</xdr:colOff>
      <xdr:row>17</xdr:row>
      <xdr:rowOff>22860</xdr:rowOff>
    </xdr:from>
    <xdr:to>
      <xdr:col>14</xdr:col>
      <xdr:colOff>304800</xdr:colOff>
      <xdr:row>17</xdr:row>
      <xdr:rowOff>22860</xdr:rowOff>
    </xdr:to>
    <xdr:sp macro="" textlink="">
      <xdr:nvSpPr>
        <xdr:cNvPr id="2882" name="Line 21">
          <a:extLst>
            <a:ext uri="{FF2B5EF4-FFF2-40B4-BE49-F238E27FC236}">
              <a16:creationId xmlns:a16="http://schemas.microsoft.com/office/drawing/2014/main" id="{80D90825-6BA7-47DF-9BDD-24C192239AF2}"/>
            </a:ext>
            <a:ext uri="{C183D7F6-B498-43B3-948B-1728B52AA6E4}">
              <adec:decorative xmlns:adec="http://schemas.microsoft.com/office/drawing/2017/decorative" val="1"/>
            </a:ext>
          </a:extLst>
        </xdr:cNvPr>
        <xdr:cNvSpPr>
          <a:spLocks noChangeShapeType="1"/>
        </xdr:cNvSpPr>
      </xdr:nvSpPr>
      <xdr:spPr bwMode="auto">
        <a:xfrm>
          <a:off x="8671560" y="2872740"/>
          <a:ext cx="131826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304800</xdr:colOff>
      <xdr:row>17</xdr:row>
      <xdr:rowOff>22860</xdr:rowOff>
    </xdr:from>
    <xdr:to>
      <xdr:col>12</xdr:col>
      <xdr:colOff>0</xdr:colOff>
      <xdr:row>17</xdr:row>
      <xdr:rowOff>22860</xdr:rowOff>
    </xdr:to>
    <xdr:sp macro="" textlink="">
      <xdr:nvSpPr>
        <xdr:cNvPr id="2883" name="Line 22">
          <a:extLst>
            <a:ext uri="{FF2B5EF4-FFF2-40B4-BE49-F238E27FC236}">
              <a16:creationId xmlns:a16="http://schemas.microsoft.com/office/drawing/2014/main" id="{5A36B0AA-366C-4B8A-B143-AA403CC32957}"/>
            </a:ext>
            <a:ext uri="{C183D7F6-B498-43B3-948B-1728B52AA6E4}">
              <adec:decorative xmlns:adec="http://schemas.microsoft.com/office/drawing/2017/decorative" val="1"/>
            </a:ext>
          </a:extLst>
        </xdr:cNvPr>
        <xdr:cNvSpPr>
          <a:spLocks noChangeShapeType="1"/>
        </xdr:cNvSpPr>
      </xdr:nvSpPr>
      <xdr:spPr bwMode="auto">
        <a:xfrm flipH="1" flipV="1">
          <a:off x="7490460" y="2872740"/>
          <a:ext cx="9448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443865</xdr:colOff>
      <xdr:row>11</xdr:row>
      <xdr:rowOff>131445</xdr:rowOff>
    </xdr:from>
    <xdr:to>
      <xdr:col>11</xdr:col>
      <xdr:colOff>131445</xdr:colOff>
      <xdr:row>13</xdr:row>
      <xdr:rowOff>93345</xdr:rowOff>
    </xdr:to>
    <xdr:sp macro="" textlink="">
      <xdr:nvSpPr>
        <xdr:cNvPr id="2071" name="Text Box 23">
          <a:extLst>
            <a:ext uri="{FF2B5EF4-FFF2-40B4-BE49-F238E27FC236}">
              <a16:creationId xmlns:a16="http://schemas.microsoft.com/office/drawing/2014/main" id="{CCC9F98F-3DF7-4ACF-86BC-DC80D8E839D1}"/>
            </a:ext>
          </a:extLst>
        </xdr:cNvPr>
        <xdr:cNvSpPr txBox="1">
          <a:spLocks noChangeArrowheads="1"/>
        </xdr:cNvSpPr>
      </xdr:nvSpPr>
      <xdr:spPr bwMode="auto">
        <a:xfrm>
          <a:off x="7419975" y="1905000"/>
          <a:ext cx="3048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US" sz="1800" b="1" i="0" u="none" strike="noStrike" baseline="0">
              <a:solidFill>
                <a:srgbClr val="000000"/>
              </a:solidFill>
              <a:latin typeface="Arial"/>
              <a:cs typeface="Arial"/>
            </a:rPr>
            <a:t>W</a:t>
          </a:r>
        </a:p>
      </xdr:txBody>
    </xdr:sp>
    <xdr:clientData/>
  </xdr:twoCellAnchor>
  <xdr:twoCellAnchor>
    <xdr:from>
      <xdr:col>11</xdr:col>
      <xdr:colOff>137160</xdr:colOff>
      <xdr:row>12</xdr:row>
      <xdr:rowOff>91440</xdr:rowOff>
    </xdr:from>
    <xdr:to>
      <xdr:col>11</xdr:col>
      <xdr:colOff>381000</xdr:colOff>
      <xdr:row>12</xdr:row>
      <xdr:rowOff>99060</xdr:rowOff>
    </xdr:to>
    <xdr:sp macro="" textlink="">
      <xdr:nvSpPr>
        <xdr:cNvPr id="2885" name="Line 24">
          <a:extLst>
            <a:ext uri="{FF2B5EF4-FFF2-40B4-BE49-F238E27FC236}">
              <a16:creationId xmlns:a16="http://schemas.microsoft.com/office/drawing/2014/main" id="{85D6A596-FDAE-4D16-B20B-FDF9EF157151}"/>
            </a:ext>
            <a:ext uri="{C183D7F6-B498-43B3-948B-1728B52AA6E4}">
              <adec:decorative xmlns:adec="http://schemas.microsoft.com/office/drawing/2017/decorative" val="1"/>
            </a:ext>
          </a:extLst>
        </xdr:cNvPr>
        <xdr:cNvSpPr>
          <a:spLocks noChangeShapeType="1"/>
        </xdr:cNvSpPr>
      </xdr:nvSpPr>
      <xdr:spPr bwMode="auto">
        <a:xfrm flipV="1">
          <a:off x="7947660" y="2103120"/>
          <a:ext cx="243840" cy="7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205740</xdr:colOff>
      <xdr:row>12</xdr:row>
      <xdr:rowOff>121920</xdr:rowOff>
    </xdr:from>
    <xdr:to>
      <xdr:col>10</xdr:col>
      <xdr:colOff>449580</xdr:colOff>
      <xdr:row>12</xdr:row>
      <xdr:rowOff>129540</xdr:rowOff>
    </xdr:to>
    <xdr:sp macro="" textlink="">
      <xdr:nvSpPr>
        <xdr:cNvPr id="2886" name="Line 25">
          <a:extLst>
            <a:ext uri="{FF2B5EF4-FFF2-40B4-BE49-F238E27FC236}">
              <a16:creationId xmlns:a16="http://schemas.microsoft.com/office/drawing/2014/main" id="{33B42590-A5ED-4FBA-8CCE-3F33E94CD921}"/>
            </a:ext>
            <a:ext uri="{C183D7F6-B498-43B3-948B-1728B52AA6E4}">
              <adec:decorative xmlns:adec="http://schemas.microsoft.com/office/drawing/2017/decorative" val="1"/>
            </a:ext>
          </a:extLst>
        </xdr:cNvPr>
        <xdr:cNvSpPr>
          <a:spLocks noChangeShapeType="1"/>
        </xdr:cNvSpPr>
      </xdr:nvSpPr>
      <xdr:spPr bwMode="auto">
        <a:xfrm flipH="1">
          <a:off x="7391400" y="2133600"/>
          <a:ext cx="243840" cy="7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133350</xdr:colOff>
      <xdr:row>1</xdr:row>
      <xdr:rowOff>121920</xdr:rowOff>
    </xdr:from>
    <xdr:to>
      <xdr:col>14</xdr:col>
      <xdr:colOff>9525</xdr:colOff>
      <xdr:row>5</xdr:row>
      <xdr:rowOff>19100</xdr:rowOff>
    </xdr:to>
    <xdr:sp macro="" textlink="">
      <xdr:nvSpPr>
        <xdr:cNvPr id="2075" name="Text Box 27">
          <a:extLst>
            <a:ext uri="{FF2B5EF4-FFF2-40B4-BE49-F238E27FC236}">
              <a16:creationId xmlns:a16="http://schemas.microsoft.com/office/drawing/2014/main" id="{E31A9A40-4958-4B4F-90A7-35907A998BF5}"/>
            </a:ext>
          </a:extLst>
        </xdr:cNvPr>
        <xdr:cNvSpPr txBox="1">
          <a:spLocks noChangeArrowheads="1"/>
        </xdr:cNvSpPr>
      </xdr:nvSpPr>
      <xdr:spPr bwMode="auto">
        <a:xfrm>
          <a:off x="7124700" y="276225"/>
          <a:ext cx="2314575" cy="552450"/>
        </a:xfrm>
        <a:prstGeom prst="rect">
          <a:avLst/>
        </a:prstGeom>
        <a:solidFill>
          <a:schemeClr val="accent4">
            <a:lumMod val="20000"/>
            <a:lumOff val="80000"/>
          </a:schemeClr>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Instructions- Input data only in LIGHT BLUE colored cells.  Yellow cells highlight important design info.</a:t>
          </a:r>
        </a:p>
      </xdr:txBody>
    </xdr:sp>
    <xdr:clientData/>
  </xdr:twoCellAnchor>
  <xdr:twoCellAnchor>
    <xdr:from>
      <xdr:col>9</xdr:col>
      <xdr:colOff>76200</xdr:colOff>
      <xdr:row>2</xdr:row>
      <xdr:rowOff>137160</xdr:rowOff>
    </xdr:from>
    <xdr:to>
      <xdr:col>10</xdr:col>
      <xdr:colOff>45720</xdr:colOff>
      <xdr:row>5</xdr:row>
      <xdr:rowOff>76200</xdr:rowOff>
    </xdr:to>
    <xdr:sp macro="" textlink="">
      <xdr:nvSpPr>
        <xdr:cNvPr id="2888" name="Line 28" descr="Arrow indicating instructions to Project Description">
          <a:extLst>
            <a:ext uri="{FF2B5EF4-FFF2-40B4-BE49-F238E27FC236}">
              <a16:creationId xmlns:a16="http://schemas.microsoft.com/office/drawing/2014/main" id="{14D24DAE-97F9-4259-813C-ACAD1DB9CD74}"/>
            </a:ext>
          </a:extLst>
        </xdr:cNvPr>
        <xdr:cNvSpPr>
          <a:spLocks noChangeShapeType="1"/>
        </xdr:cNvSpPr>
      </xdr:nvSpPr>
      <xdr:spPr bwMode="auto">
        <a:xfrm flipH="1">
          <a:off x="6637020" y="472440"/>
          <a:ext cx="594360" cy="44196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182880</xdr:colOff>
      <xdr:row>12</xdr:row>
      <xdr:rowOff>68580</xdr:rowOff>
    </xdr:from>
    <xdr:to>
      <xdr:col>10</xdr:col>
      <xdr:colOff>182880</xdr:colOff>
      <xdr:row>17</xdr:row>
      <xdr:rowOff>68580</xdr:rowOff>
    </xdr:to>
    <xdr:sp macro="" textlink="">
      <xdr:nvSpPr>
        <xdr:cNvPr id="2889" name="Line 47">
          <a:extLst>
            <a:ext uri="{FF2B5EF4-FFF2-40B4-BE49-F238E27FC236}">
              <a16:creationId xmlns:a16="http://schemas.microsoft.com/office/drawing/2014/main" id="{516C606C-60B0-498C-BEC4-24A1C1167557}"/>
            </a:ext>
            <a:ext uri="{C183D7F6-B498-43B3-948B-1728B52AA6E4}">
              <adec:decorative xmlns:adec="http://schemas.microsoft.com/office/drawing/2017/decorative" val="1"/>
            </a:ext>
          </a:extLst>
        </xdr:cNvPr>
        <xdr:cNvSpPr>
          <a:spLocks noChangeShapeType="1"/>
        </xdr:cNvSpPr>
      </xdr:nvSpPr>
      <xdr:spPr bwMode="auto">
        <a:xfrm flipV="1">
          <a:off x="7368540" y="2080260"/>
          <a:ext cx="0" cy="838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16</xdr:col>
      <xdr:colOff>182880</xdr:colOff>
      <xdr:row>33</xdr:row>
      <xdr:rowOff>106680</xdr:rowOff>
    </xdr:from>
    <xdr:to>
      <xdr:col>16</xdr:col>
      <xdr:colOff>1028700</xdr:colOff>
      <xdr:row>38</xdr:row>
      <xdr:rowOff>129540</xdr:rowOff>
    </xdr:to>
    <xdr:pic>
      <xdr:nvPicPr>
        <xdr:cNvPr id="2890" name="Picture 100" descr="Image of a semi-circle gutter">
          <a:extLst>
            <a:ext uri="{FF2B5EF4-FFF2-40B4-BE49-F238E27FC236}">
              <a16:creationId xmlns:a16="http://schemas.microsoft.com/office/drawing/2014/main" id="{8CD3BDE4-F46B-4046-94CC-6F145276C89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117580" y="5806440"/>
          <a:ext cx="84582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129540</xdr:colOff>
      <xdr:row>31</xdr:row>
      <xdr:rowOff>38100</xdr:rowOff>
    </xdr:from>
    <xdr:to>
      <xdr:col>15</xdr:col>
      <xdr:colOff>403860</xdr:colOff>
      <xdr:row>39</xdr:row>
      <xdr:rowOff>60960</xdr:rowOff>
    </xdr:to>
    <xdr:pic>
      <xdr:nvPicPr>
        <xdr:cNvPr id="2891" name="Picture 102" descr="Image of a Box Ogee Aluminum gutter">
          <a:extLst>
            <a:ext uri="{FF2B5EF4-FFF2-40B4-BE49-F238E27FC236}">
              <a16:creationId xmlns:a16="http://schemas.microsoft.com/office/drawing/2014/main" id="{41471089-AF27-4A43-87CD-925B1C2A5DD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89720" y="5402580"/>
          <a:ext cx="1524000" cy="1478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137160</xdr:colOff>
      <xdr:row>30</xdr:row>
      <xdr:rowOff>60960</xdr:rowOff>
    </xdr:from>
    <xdr:to>
      <xdr:col>13</xdr:col>
      <xdr:colOff>0</xdr:colOff>
      <xdr:row>39</xdr:row>
      <xdr:rowOff>30480</xdr:rowOff>
    </xdr:to>
    <xdr:pic>
      <xdr:nvPicPr>
        <xdr:cNvPr id="2892" name="Picture 104" descr="Image of a Box Ogee Galvanized gutter">
          <a:extLst>
            <a:ext uri="{FF2B5EF4-FFF2-40B4-BE49-F238E27FC236}">
              <a16:creationId xmlns:a16="http://schemas.microsoft.com/office/drawing/2014/main" id="{DD72306C-458B-457E-84B5-240375C8A95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322820" y="5257800"/>
          <a:ext cx="1737360" cy="1592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209550</xdr:colOff>
      <xdr:row>31</xdr:row>
      <xdr:rowOff>0</xdr:rowOff>
    </xdr:from>
    <xdr:to>
      <xdr:col>10</xdr:col>
      <xdr:colOff>379186</xdr:colOff>
      <xdr:row>32</xdr:row>
      <xdr:rowOff>9525</xdr:rowOff>
    </xdr:to>
    <xdr:sp macro="" textlink="">
      <xdr:nvSpPr>
        <xdr:cNvPr id="2144" name="Text Box 96">
          <a:extLst>
            <a:ext uri="{FF2B5EF4-FFF2-40B4-BE49-F238E27FC236}">
              <a16:creationId xmlns:a16="http://schemas.microsoft.com/office/drawing/2014/main" id="{3257F10B-A714-407F-9A6F-B0561EAB0BE8}"/>
            </a:ext>
          </a:extLst>
        </xdr:cNvPr>
        <xdr:cNvSpPr txBox="1">
          <a:spLocks noChangeArrowheads="1"/>
        </xdr:cNvSpPr>
      </xdr:nvSpPr>
      <xdr:spPr bwMode="auto">
        <a:xfrm>
          <a:off x="7200900" y="5181600"/>
          <a:ext cx="1619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000" b="1" i="0" u="none" strike="noStrike" baseline="0">
              <a:solidFill>
                <a:srgbClr val="0000FF"/>
              </a:solidFill>
              <a:latin typeface="Arial"/>
              <a:cs typeface="Arial"/>
            </a:rPr>
            <a:t>A</a:t>
          </a:r>
        </a:p>
      </xdr:txBody>
    </xdr:sp>
    <xdr:clientData/>
  </xdr:twoCellAnchor>
  <xdr:twoCellAnchor>
    <xdr:from>
      <xdr:col>14</xdr:col>
      <xdr:colOff>274320</xdr:colOff>
      <xdr:row>31</xdr:row>
      <xdr:rowOff>93345</xdr:rowOff>
    </xdr:from>
    <xdr:to>
      <xdr:col>14</xdr:col>
      <xdr:colOff>443956</xdr:colOff>
      <xdr:row>32</xdr:row>
      <xdr:rowOff>95488</xdr:rowOff>
    </xdr:to>
    <xdr:sp macro="" textlink="">
      <xdr:nvSpPr>
        <xdr:cNvPr id="2145" name="Text Box 97">
          <a:extLst>
            <a:ext uri="{FF2B5EF4-FFF2-40B4-BE49-F238E27FC236}">
              <a16:creationId xmlns:a16="http://schemas.microsoft.com/office/drawing/2014/main" id="{8DC19F97-F247-4FB0-8F5D-24DBC8A5CA4A}"/>
            </a:ext>
          </a:extLst>
        </xdr:cNvPr>
        <xdr:cNvSpPr txBox="1">
          <a:spLocks noChangeArrowheads="1"/>
        </xdr:cNvSpPr>
      </xdr:nvSpPr>
      <xdr:spPr bwMode="auto">
        <a:xfrm>
          <a:off x="9696450" y="5267325"/>
          <a:ext cx="161925" cy="1714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en-US" sz="1000" b="1" i="0" u="none" strike="noStrike" baseline="0">
              <a:solidFill>
                <a:srgbClr val="0000FF"/>
              </a:solidFill>
              <a:latin typeface="Arial"/>
              <a:cs typeface="Arial"/>
            </a:rPr>
            <a:t>B</a:t>
          </a:r>
        </a:p>
      </xdr:txBody>
    </xdr:sp>
    <xdr:clientData/>
  </xdr:twoCellAnchor>
  <xdr:twoCellAnchor>
    <xdr:from>
      <xdr:col>16</xdr:col>
      <xdr:colOff>558165</xdr:colOff>
      <xdr:row>31</xdr:row>
      <xdr:rowOff>57150</xdr:rowOff>
    </xdr:from>
    <xdr:to>
      <xdr:col>16</xdr:col>
      <xdr:colOff>796290</xdr:colOff>
      <xdr:row>32</xdr:row>
      <xdr:rowOff>104775</xdr:rowOff>
    </xdr:to>
    <xdr:sp macro="" textlink="">
      <xdr:nvSpPr>
        <xdr:cNvPr id="2146" name="Text Box 98">
          <a:extLst>
            <a:ext uri="{FF2B5EF4-FFF2-40B4-BE49-F238E27FC236}">
              <a16:creationId xmlns:a16="http://schemas.microsoft.com/office/drawing/2014/main" id="{60A8B915-E45A-4794-9699-FA1AC78C8779}"/>
            </a:ext>
          </a:extLst>
        </xdr:cNvPr>
        <xdr:cNvSpPr txBox="1">
          <a:spLocks noChangeArrowheads="1"/>
        </xdr:cNvSpPr>
      </xdr:nvSpPr>
      <xdr:spPr bwMode="auto">
        <a:xfrm>
          <a:off x="11191875" y="5238750"/>
          <a:ext cx="238125" cy="2095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200" b="1" i="0" u="none" strike="noStrike" baseline="0">
              <a:solidFill>
                <a:srgbClr val="0000FF"/>
              </a:solidFill>
              <a:latin typeface="Arial"/>
              <a:cs typeface="Arial"/>
            </a:rPr>
            <a:t>C</a:t>
          </a:r>
        </a:p>
      </xdr:txBody>
    </xdr:sp>
    <xdr:clientData/>
  </xdr:twoCellAnchor>
  <xdr:twoCellAnchor>
    <xdr:from>
      <xdr:col>12</xdr:col>
      <xdr:colOff>321945</xdr:colOff>
      <xdr:row>40</xdr:row>
      <xdr:rowOff>142875</xdr:rowOff>
    </xdr:from>
    <xdr:to>
      <xdr:col>15</xdr:col>
      <xdr:colOff>531495</xdr:colOff>
      <xdr:row>43</xdr:row>
      <xdr:rowOff>133350</xdr:rowOff>
    </xdr:to>
    <xdr:sp macro="" textlink="">
      <xdr:nvSpPr>
        <xdr:cNvPr id="2143" name="Text Box 95">
          <a:extLst>
            <a:ext uri="{FF2B5EF4-FFF2-40B4-BE49-F238E27FC236}">
              <a16:creationId xmlns:a16="http://schemas.microsoft.com/office/drawing/2014/main" id="{718222D5-763C-423E-AA8E-2E66DD19EBA3}"/>
            </a:ext>
          </a:extLst>
        </xdr:cNvPr>
        <xdr:cNvSpPr txBox="1">
          <a:spLocks noChangeArrowheads="1"/>
        </xdr:cNvSpPr>
      </xdr:nvSpPr>
      <xdr:spPr bwMode="auto">
        <a:xfrm>
          <a:off x="8524875" y="6781800"/>
          <a:ext cx="2038350" cy="47625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36576" tIns="27432" rIns="36576" bIns="0" anchor="t" upright="1"/>
        <a:lstStyle/>
        <a:p>
          <a:pPr algn="ctr" rtl="0">
            <a:defRPr sz="1000"/>
          </a:pPr>
          <a:r>
            <a:rPr lang="en-US" sz="1200" b="1" i="0" u="none" strike="noStrike" baseline="0">
              <a:solidFill>
                <a:srgbClr val="3366FF"/>
              </a:solidFill>
              <a:latin typeface="Arial"/>
              <a:cs typeface="Arial"/>
            </a:rPr>
            <a:t>Gutter Styles/Sizes Available to Choose From</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579120</xdr:colOff>
      <xdr:row>6</xdr:row>
      <xdr:rowOff>68580</xdr:rowOff>
    </xdr:from>
    <xdr:to>
      <xdr:col>17</xdr:col>
      <xdr:colOff>525780</xdr:colOff>
      <xdr:row>29</xdr:row>
      <xdr:rowOff>129540</xdr:rowOff>
    </xdr:to>
    <xdr:sp macro="" textlink="">
      <xdr:nvSpPr>
        <xdr:cNvPr id="3976" name="Rectangle 1">
          <a:extLst>
            <a:ext uri="{FF2B5EF4-FFF2-40B4-BE49-F238E27FC236}">
              <a16:creationId xmlns:a16="http://schemas.microsoft.com/office/drawing/2014/main" id="{77E71399-8F61-460D-A64D-30528E3C63B6}"/>
            </a:ext>
            <a:ext uri="{C183D7F6-B498-43B3-948B-1728B52AA6E4}">
              <adec:decorative xmlns:adec="http://schemas.microsoft.com/office/drawing/2017/decorative" val="1"/>
            </a:ext>
          </a:extLst>
        </xdr:cNvPr>
        <xdr:cNvSpPr>
          <a:spLocks noChangeArrowheads="1"/>
        </xdr:cNvSpPr>
      </xdr:nvSpPr>
      <xdr:spPr bwMode="auto">
        <a:xfrm>
          <a:off x="7231380" y="1074420"/>
          <a:ext cx="4922520" cy="400812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396240</xdr:colOff>
      <xdr:row>32</xdr:row>
      <xdr:rowOff>30480</xdr:rowOff>
    </xdr:from>
    <xdr:to>
      <xdr:col>4</xdr:col>
      <xdr:colOff>571500</xdr:colOff>
      <xdr:row>33</xdr:row>
      <xdr:rowOff>137160</xdr:rowOff>
    </xdr:to>
    <xdr:sp macro="" textlink="">
      <xdr:nvSpPr>
        <xdr:cNvPr id="3977" name="Line 2">
          <a:extLst>
            <a:ext uri="{FF2B5EF4-FFF2-40B4-BE49-F238E27FC236}">
              <a16:creationId xmlns:a16="http://schemas.microsoft.com/office/drawing/2014/main" id="{2AF3D99B-7797-4001-8D94-B3A5338D7757}"/>
            </a:ext>
            <a:ext uri="{C183D7F6-B498-43B3-948B-1728B52AA6E4}">
              <adec:decorative xmlns:adec="http://schemas.microsoft.com/office/drawing/2017/decorative" val="1"/>
            </a:ext>
          </a:extLst>
        </xdr:cNvPr>
        <xdr:cNvSpPr>
          <a:spLocks noChangeShapeType="1"/>
        </xdr:cNvSpPr>
      </xdr:nvSpPr>
      <xdr:spPr bwMode="auto">
        <a:xfrm flipH="1">
          <a:off x="3718560" y="5486400"/>
          <a:ext cx="175260" cy="274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601980</xdr:colOff>
      <xdr:row>65</xdr:row>
      <xdr:rowOff>137160</xdr:rowOff>
    </xdr:from>
    <xdr:to>
      <xdr:col>7</xdr:col>
      <xdr:colOff>441960</xdr:colOff>
      <xdr:row>75</xdr:row>
      <xdr:rowOff>144780</xdr:rowOff>
    </xdr:to>
    <xdr:sp macro="" textlink="">
      <xdr:nvSpPr>
        <xdr:cNvPr id="3978" name="AutoShape 3">
          <a:extLst>
            <a:ext uri="{FF2B5EF4-FFF2-40B4-BE49-F238E27FC236}">
              <a16:creationId xmlns:a16="http://schemas.microsoft.com/office/drawing/2014/main" id="{1BEFA910-C3D2-4061-8BA5-C701FE84F446}"/>
            </a:ext>
            <a:ext uri="{C183D7F6-B498-43B3-948B-1728B52AA6E4}">
              <adec:decorative xmlns:adec="http://schemas.microsoft.com/office/drawing/2017/decorative" val="1"/>
            </a:ext>
          </a:extLst>
        </xdr:cNvPr>
        <xdr:cNvSpPr>
          <a:spLocks/>
        </xdr:cNvSpPr>
      </xdr:nvSpPr>
      <xdr:spPr bwMode="auto">
        <a:xfrm>
          <a:off x="5280660" y="11201400"/>
          <a:ext cx="449580" cy="1684020"/>
        </a:xfrm>
        <a:prstGeom prst="rightBrace">
          <a:avLst>
            <a:gd name="adj1" fmla="val 31215"/>
            <a:gd name="adj2" fmla="val 50000"/>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83820</xdr:colOff>
      <xdr:row>78</xdr:row>
      <xdr:rowOff>121920</xdr:rowOff>
    </xdr:from>
    <xdr:to>
      <xdr:col>7</xdr:col>
      <xdr:colOff>259080</xdr:colOff>
      <xdr:row>80</xdr:row>
      <xdr:rowOff>106680</xdr:rowOff>
    </xdr:to>
    <xdr:sp macro="" textlink="">
      <xdr:nvSpPr>
        <xdr:cNvPr id="3979" name="Line 4">
          <a:extLst>
            <a:ext uri="{FF2B5EF4-FFF2-40B4-BE49-F238E27FC236}">
              <a16:creationId xmlns:a16="http://schemas.microsoft.com/office/drawing/2014/main" id="{6C714CA6-2949-4E47-9132-DFD024989613}"/>
            </a:ext>
            <a:ext uri="{C183D7F6-B498-43B3-948B-1728B52AA6E4}">
              <adec:decorative xmlns:adec="http://schemas.microsoft.com/office/drawing/2017/decorative" val="1"/>
            </a:ext>
          </a:extLst>
        </xdr:cNvPr>
        <xdr:cNvSpPr>
          <a:spLocks noChangeShapeType="1"/>
        </xdr:cNvSpPr>
      </xdr:nvSpPr>
      <xdr:spPr bwMode="auto">
        <a:xfrm flipH="1">
          <a:off x="2125980" y="13388340"/>
          <a:ext cx="3421380" cy="32766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259080</xdr:colOff>
      <xdr:row>71</xdr:row>
      <xdr:rowOff>30480</xdr:rowOff>
    </xdr:from>
    <xdr:to>
      <xdr:col>7</xdr:col>
      <xdr:colOff>449580</xdr:colOff>
      <xdr:row>78</xdr:row>
      <xdr:rowOff>106680</xdr:rowOff>
    </xdr:to>
    <xdr:sp macro="" textlink="">
      <xdr:nvSpPr>
        <xdr:cNvPr id="3980" name="Line 5">
          <a:extLst>
            <a:ext uri="{FF2B5EF4-FFF2-40B4-BE49-F238E27FC236}">
              <a16:creationId xmlns:a16="http://schemas.microsoft.com/office/drawing/2014/main" id="{776C48E8-2DB8-4AB3-B197-610BBD9E78C4}"/>
            </a:ext>
            <a:ext uri="{C183D7F6-B498-43B3-948B-1728B52AA6E4}">
              <adec:decorative xmlns:adec="http://schemas.microsoft.com/office/drawing/2017/decorative" val="1"/>
            </a:ext>
          </a:extLst>
        </xdr:cNvPr>
        <xdr:cNvSpPr>
          <a:spLocks noChangeShapeType="1"/>
        </xdr:cNvSpPr>
      </xdr:nvSpPr>
      <xdr:spPr bwMode="auto">
        <a:xfrm flipH="1">
          <a:off x="5547360" y="12100560"/>
          <a:ext cx="190500" cy="127254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198120</xdr:colOff>
      <xdr:row>12</xdr:row>
      <xdr:rowOff>91440</xdr:rowOff>
    </xdr:from>
    <xdr:to>
      <xdr:col>11</xdr:col>
      <xdr:colOff>388620</xdr:colOff>
      <xdr:row>17</xdr:row>
      <xdr:rowOff>144780</xdr:rowOff>
    </xdr:to>
    <xdr:sp macro="" textlink="">
      <xdr:nvSpPr>
        <xdr:cNvPr id="3981" name="Line 6">
          <a:extLst>
            <a:ext uri="{FF2B5EF4-FFF2-40B4-BE49-F238E27FC236}">
              <a16:creationId xmlns:a16="http://schemas.microsoft.com/office/drawing/2014/main" id="{91BF2272-2DA6-4664-BAE2-608356723F78}"/>
            </a:ext>
            <a:ext uri="{C183D7F6-B498-43B3-948B-1728B52AA6E4}">
              <adec:decorative xmlns:adec="http://schemas.microsoft.com/office/drawing/2017/decorative" val="1"/>
            </a:ext>
          </a:extLst>
        </xdr:cNvPr>
        <xdr:cNvSpPr>
          <a:spLocks noChangeShapeType="1"/>
        </xdr:cNvSpPr>
      </xdr:nvSpPr>
      <xdr:spPr bwMode="auto">
        <a:xfrm flipH="1">
          <a:off x="7459980" y="2103120"/>
          <a:ext cx="800100" cy="8915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411480</xdr:colOff>
      <xdr:row>12</xdr:row>
      <xdr:rowOff>91440</xdr:rowOff>
    </xdr:from>
    <xdr:to>
      <xdr:col>15</xdr:col>
      <xdr:colOff>449580</xdr:colOff>
      <xdr:row>12</xdr:row>
      <xdr:rowOff>91440</xdr:rowOff>
    </xdr:to>
    <xdr:sp macro="" textlink="">
      <xdr:nvSpPr>
        <xdr:cNvPr id="3982" name="Line 7">
          <a:extLst>
            <a:ext uri="{FF2B5EF4-FFF2-40B4-BE49-F238E27FC236}">
              <a16:creationId xmlns:a16="http://schemas.microsoft.com/office/drawing/2014/main" id="{5D46C0D0-1E56-4B48-878D-09D795317D26}"/>
            </a:ext>
            <a:ext uri="{C183D7F6-B498-43B3-948B-1728B52AA6E4}">
              <adec:decorative xmlns:adec="http://schemas.microsoft.com/office/drawing/2017/decorative" val="1"/>
            </a:ext>
          </a:extLst>
        </xdr:cNvPr>
        <xdr:cNvSpPr>
          <a:spLocks noChangeShapeType="1"/>
        </xdr:cNvSpPr>
      </xdr:nvSpPr>
      <xdr:spPr bwMode="auto">
        <a:xfrm>
          <a:off x="8282940" y="2103120"/>
          <a:ext cx="24765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228600</xdr:colOff>
      <xdr:row>12</xdr:row>
      <xdr:rowOff>99060</xdr:rowOff>
    </xdr:from>
    <xdr:to>
      <xdr:col>15</xdr:col>
      <xdr:colOff>441960</xdr:colOff>
      <xdr:row>17</xdr:row>
      <xdr:rowOff>160020</xdr:rowOff>
    </xdr:to>
    <xdr:sp macro="" textlink="">
      <xdr:nvSpPr>
        <xdr:cNvPr id="3983" name="Line 8">
          <a:extLst>
            <a:ext uri="{FF2B5EF4-FFF2-40B4-BE49-F238E27FC236}">
              <a16:creationId xmlns:a16="http://schemas.microsoft.com/office/drawing/2014/main" id="{664529E7-50B4-47C7-8D33-693C7A64743B}"/>
            </a:ext>
            <a:ext uri="{C183D7F6-B498-43B3-948B-1728B52AA6E4}">
              <adec:decorative xmlns:adec="http://schemas.microsoft.com/office/drawing/2017/decorative" val="1"/>
            </a:ext>
          </a:extLst>
        </xdr:cNvPr>
        <xdr:cNvSpPr>
          <a:spLocks noChangeShapeType="1"/>
        </xdr:cNvSpPr>
      </xdr:nvSpPr>
      <xdr:spPr bwMode="auto">
        <a:xfrm flipH="1">
          <a:off x="9928860" y="2110740"/>
          <a:ext cx="822960" cy="8991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213360</xdr:colOff>
      <xdr:row>17</xdr:row>
      <xdr:rowOff>137160</xdr:rowOff>
    </xdr:from>
    <xdr:to>
      <xdr:col>14</xdr:col>
      <xdr:colOff>220980</xdr:colOff>
      <xdr:row>17</xdr:row>
      <xdr:rowOff>137160</xdr:rowOff>
    </xdr:to>
    <xdr:sp macro="" textlink="">
      <xdr:nvSpPr>
        <xdr:cNvPr id="3984" name="Line 9">
          <a:extLst>
            <a:ext uri="{FF2B5EF4-FFF2-40B4-BE49-F238E27FC236}">
              <a16:creationId xmlns:a16="http://schemas.microsoft.com/office/drawing/2014/main" id="{41137D9A-F1C0-414F-B519-8E7626B20935}"/>
            </a:ext>
            <a:ext uri="{C183D7F6-B498-43B3-948B-1728B52AA6E4}">
              <adec:decorative xmlns:adec="http://schemas.microsoft.com/office/drawing/2017/decorative" val="1"/>
            </a:ext>
          </a:extLst>
        </xdr:cNvPr>
        <xdr:cNvSpPr>
          <a:spLocks noChangeShapeType="1"/>
        </xdr:cNvSpPr>
      </xdr:nvSpPr>
      <xdr:spPr bwMode="auto">
        <a:xfrm>
          <a:off x="7475220" y="2987040"/>
          <a:ext cx="24460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15</xdr:col>
      <xdr:colOff>457200</xdr:colOff>
      <xdr:row>12</xdr:row>
      <xdr:rowOff>99060</xdr:rowOff>
    </xdr:from>
    <xdr:to>
      <xdr:col>16</xdr:col>
      <xdr:colOff>533400</xdr:colOff>
      <xdr:row>16</xdr:row>
      <xdr:rowOff>38100</xdr:rowOff>
    </xdr:to>
    <xdr:sp macro="" textlink="">
      <xdr:nvSpPr>
        <xdr:cNvPr id="3985" name="Line 10">
          <a:extLst>
            <a:ext uri="{FF2B5EF4-FFF2-40B4-BE49-F238E27FC236}">
              <a16:creationId xmlns:a16="http://schemas.microsoft.com/office/drawing/2014/main" id="{7496422F-14B0-4161-BB21-C1C238DEEBF0}"/>
            </a:ext>
            <a:ext uri="{C183D7F6-B498-43B3-948B-1728B52AA6E4}">
              <adec:decorative xmlns:adec="http://schemas.microsoft.com/office/drawing/2017/decorative" val="1"/>
            </a:ext>
          </a:extLst>
        </xdr:cNvPr>
        <xdr:cNvSpPr>
          <a:spLocks noChangeShapeType="1"/>
        </xdr:cNvSpPr>
      </xdr:nvSpPr>
      <xdr:spPr bwMode="auto">
        <a:xfrm>
          <a:off x="10767060" y="2110740"/>
          <a:ext cx="685800" cy="6096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297180</xdr:colOff>
      <xdr:row>17</xdr:row>
      <xdr:rowOff>137160</xdr:rowOff>
    </xdr:from>
    <xdr:to>
      <xdr:col>10</xdr:col>
      <xdr:colOff>297180</xdr:colOff>
      <xdr:row>25</xdr:row>
      <xdr:rowOff>160020</xdr:rowOff>
    </xdr:to>
    <xdr:sp macro="" textlink="">
      <xdr:nvSpPr>
        <xdr:cNvPr id="3986" name="Line 11">
          <a:extLst>
            <a:ext uri="{FF2B5EF4-FFF2-40B4-BE49-F238E27FC236}">
              <a16:creationId xmlns:a16="http://schemas.microsoft.com/office/drawing/2014/main" id="{DA3BFF06-2CB4-43E1-911C-9B8344521140}"/>
            </a:ext>
            <a:ext uri="{C183D7F6-B498-43B3-948B-1728B52AA6E4}">
              <adec:decorative xmlns:adec="http://schemas.microsoft.com/office/drawing/2017/decorative" val="1"/>
            </a:ext>
          </a:extLst>
        </xdr:cNvPr>
        <xdr:cNvSpPr>
          <a:spLocks noChangeShapeType="1"/>
        </xdr:cNvSpPr>
      </xdr:nvSpPr>
      <xdr:spPr bwMode="auto">
        <a:xfrm>
          <a:off x="7559040" y="2987040"/>
          <a:ext cx="0" cy="14554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137160</xdr:colOff>
      <xdr:row>17</xdr:row>
      <xdr:rowOff>129540</xdr:rowOff>
    </xdr:from>
    <xdr:to>
      <xdr:col>14</xdr:col>
      <xdr:colOff>137160</xdr:colOff>
      <xdr:row>26</xdr:row>
      <xdr:rowOff>7620</xdr:rowOff>
    </xdr:to>
    <xdr:sp macro="" textlink="">
      <xdr:nvSpPr>
        <xdr:cNvPr id="3987" name="Line 12">
          <a:extLst>
            <a:ext uri="{FF2B5EF4-FFF2-40B4-BE49-F238E27FC236}">
              <a16:creationId xmlns:a16="http://schemas.microsoft.com/office/drawing/2014/main" id="{E787D278-5670-4C0A-87F4-7EDE597AB099}"/>
            </a:ext>
            <a:ext uri="{C183D7F6-B498-43B3-948B-1728B52AA6E4}">
              <adec:decorative xmlns:adec="http://schemas.microsoft.com/office/drawing/2017/decorative" val="1"/>
            </a:ext>
          </a:extLst>
        </xdr:cNvPr>
        <xdr:cNvSpPr>
          <a:spLocks noChangeShapeType="1"/>
        </xdr:cNvSpPr>
      </xdr:nvSpPr>
      <xdr:spPr bwMode="auto">
        <a:xfrm>
          <a:off x="9837420" y="2979420"/>
          <a:ext cx="0" cy="147828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327660</xdr:colOff>
      <xdr:row>25</xdr:row>
      <xdr:rowOff>144780</xdr:rowOff>
    </xdr:from>
    <xdr:to>
      <xdr:col>14</xdr:col>
      <xdr:colOff>137160</xdr:colOff>
      <xdr:row>25</xdr:row>
      <xdr:rowOff>160020</xdr:rowOff>
    </xdr:to>
    <xdr:sp macro="" textlink="">
      <xdr:nvSpPr>
        <xdr:cNvPr id="3988" name="Line 13">
          <a:extLst>
            <a:ext uri="{FF2B5EF4-FFF2-40B4-BE49-F238E27FC236}">
              <a16:creationId xmlns:a16="http://schemas.microsoft.com/office/drawing/2014/main" id="{52435EEF-5A54-4487-8258-1359C3EC846D}"/>
            </a:ext>
            <a:ext uri="{C183D7F6-B498-43B3-948B-1728B52AA6E4}">
              <adec:decorative xmlns:adec="http://schemas.microsoft.com/office/drawing/2017/decorative" val="1"/>
            </a:ext>
          </a:extLst>
        </xdr:cNvPr>
        <xdr:cNvSpPr>
          <a:spLocks noChangeShapeType="1"/>
        </xdr:cNvSpPr>
      </xdr:nvSpPr>
      <xdr:spPr bwMode="auto">
        <a:xfrm flipV="1">
          <a:off x="7589520" y="4427220"/>
          <a:ext cx="2247900" cy="1524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16</xdr:col>
      <xdr:colOff>441960</xdr:colOff>
      <xdr:row>15</xdr:row>
      <xdr:rowOff>160020</xdr:rowOff>
    </xdr:from>
    <xdr:to>
      <xdr:col>16</xdr:col>
      <xdr:colOff>441960</xdr:colOff>
      <xdr:row>24</xdr:row>
      <xdr:rowOff>0</xdr:rowOff>
    </xdr:to>
    <xdr:sp macro="" textlink="">
      <xdr:nvSpPr>
        <xdr:cNvPr id="3989" name="Line 14">
          <a:extLst>
            <a:ext uri="{FF2B5EF4-FFF2-40B4-BE49-F238E27FC236}">
              <a16:creationId xmlns:a16="http://schemas.microsoft.com/office/drawing/2014/main" id="{70649FBF-6EEB-477F-861B-4D1B3BC81829}"/>
            </a:ext>
            <a:ext uri="{C183D7F6-B498-43B3-948B-1728B52AA6E4}">
              <adec:decorative xmlns:adec="http://schemas.microsoft.com/office/drawing/2017/decorative" val="1"/>
            </a:ext>
          </a:extLst>
        </xdr:cNvPr>
        <xdr:cNvSpPr>
          <a:spLocks noChangeShapeType="1"/>
        </xdr:cNvSpPr>
      </xdr:nvSpPr>
      <xdr:spPr bwMode="auto">
        <a:xfrm>
          <a:off x="11361420" y="2674620"/>
          <a:ext cx="0" cy="1409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14</xdr:col>
      <xdr:colOff>152400</xdr:colOff>
      <xdr:row>24</xdr:row>
      <xdr:rowOff>0</xdr:rowOff>
    </xdr:from>
    <xdr:to>
      <xdr:col>16</xdr:col>
      <xdr:colOff>449580</xdr:colOff>
      <xdr:row>25</xdr:row>
      <xdr:rowOff>144780</xdr:rowOff>
    </xdr:to>
    <xdr:sp macro="" textlink="">
      <xdr:nvSpPr>
        <xdr:cNvPr id="3990" name="Line 15">
          <a:extLst>
            <a:ext uri="{FF2B5EF4-FFF2-40B4-BE49-F238E27FC236}">
              <a16:creationId xmlns:a16="http://schemas.microsoft.com/office/drawing/2014/main" id="{A6A35C8E-AC1C-4285-904C-9CD01BEE2B48}"/>
            </a:ext>
            <a:ext uri="{C183D7F6-B498-43B3-948B-1728B52AA6E4}">
              <adec:decorative xmlns:adec="http://schemas.microsoft.com/office/drawing/2017/decorative" val="1"/>
            </a:ext>
          </a:extLst>
        </xdr:cNvPr>
        <xdr:cNvSpPr>
          <a:spLocks noChangeShapeType="1"/>
        </xdr:cNvSpPr>
      </xdr:nvSpPr>
      <xdr:spPr bwMode="auto">
        <a:xfrm flipV="1">
          <a:off x="9852660" y="4084320"/>
          <a:ext cx="1516380" cy="3429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590550</xdr:colOff>
      <xdr:row>16</xdr:row>
      <xdr:rowOff>28575</xdr:rowOff>
    </xdr:from>
    <xdr:to>
      <xdr:col>12</xdr:col>
      <xdr:colOff>304800</xdr:colOff>
      <xdr:row>17</xdr:row>
      <xdr:rowOff>142875</xdr:rowOff>
    </xdr:to>
    <xdr:sp macro="" textlink="">
      <xdr:nvSpPr>
        <xdr:cNvPr id="3088" name="Text Box 16">
          <a:extLst>
            <a:ext uri="{FF2B5EF4-FFF2-40B4-BE49-F238E27FC236}">
              <a16:creationId xmlns:a16="http://schemas.microsoft.com/office/drawing/2014/main" id="{DDAC624D-DC08-4106-9190-148D6042881F}"/>
            </a:ext>
          </a:extLst>
        </xdr:cNvPr>
        <xdr:cNvSpPr txBox="1">
          <a:spLocks noChangeArrowheads="1"/>
        </xdr:cNvSpPr>
      </xdr:nvSpPr>
      <xdr:spPr bwMode="auto">
        <a:xfrm>
          <a:off x="8324850" y="2619375"/>
          <a:ext cx="32385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US" sz="1800" b="1" i="0" u="none" strike="noStrike" baseline="0">
              <a:solidFill>
                <a:srgbClr val="000000"/>
              </a:solidFill>
              <a:latin typeface="Arial"/>
              <a:cs typeface="Arial"/>
            </a:rPr>
            <a:t>L</a:t>
          </a:r>
        </a:p>
      </xdr:txBody>
    </xdr:sp>
    <xdr:clientData/>
  </xdr:twoCellAnchor>
  <xdr:twoCellAnchor>
    <xdr:from>
      <xdr:col>12</xdr:col>
      <xdr:colOff>228600</xdr:colOff>
      <xdr:row>17</xdr:row>
      <xdr:rowOff>22860</xdr:rowOff>
    </xdr:from>
    <xdr:to>
      <xdr:col>14</xdr:col>
      <xdr:colOff>297180</xdr:colOff>
      <xdr:row>17</xdr:row>
      <xdr:rowOff>22860</xdr:rowOff>
    </xdr:to>
    <xdr:sp macro="" textlink="">
      <xdr:nvSpPr>
        <xdr:cNvPr id="3992" name="Line 17">
          <a:extLst>
            <a:ext uri="{FF2B5EF4-FFF2-40B4-BE49-F238E27FC236}">
              <a16:creationId xmlns:a16="http://schemas.microsoft.com/office/drawing/2014/main" id="{CA719F57-3B1F-4140-A751-0988D5BB281D}"/>
            </a:ext>
            <a:ext uri="{C183D7F6-B498-43B3-948B-1728B52AA6E4}">
              <adec:decorative xmlns:adec="http://schemas.microsoft.com/office/drawing/2017/decorative" val="1"/>
            </a:ext>
          </a:extLst>
        </xdr:cNvPr>
        <xdr:cNvSpPr>
          <a:spLocks noChangeShapeType="1"/>
        </xdr:cNvSpPr>
      </xdr:nvSpPr>
      <xdr:spPr bwMode="auto">
        <a:xfrm>
          <a:off x="8709660" y="2872740"/>
          <a:ext cx="128778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297180</xdr:colOff>
      <xdr:row>17</xdr:row>
      <xdr:rowOff>22860</xdr:rowOff>
    </xdr:from>
    <xdr:to>
      <xdr:col>12</xdr:col>
      <xdr:colOff>0</xdr:colOff>
      <xdr:row>17</xdr:row>
      <xdr:rowOff>22860</xdr:rowOff>
    </xdr:to>
    <xdr:sp macro="" textlink="">
      <xdr:nvSpPr>
        <xdr:cNvPr id="3993" name="Line 18">
          <a:extLst>
            <a:ext uri="{FF2B5EF4-FFF2-40B4-BE49-F238E27FC236}">
              <a16:creationId xmlns:a16="http://schemas.microsoft.com/office/drawing/2014/main" id="{5BF94C80-6D99-4A73-8553-BE6AC50660DE}"/>
            </a:ext>
            <a:ext uri="{C183D7F6-B498-43B3-948B-1728B52AA6E4}">
              <adec:decorative xmlns:adec="http://schemas.microsoft.com/office/drawing/2017/decorative" val="1"/>
            </a:ext>
          </a:extLst>
        </xdr:cNvPr>
        <xdr:cNvSpPr>
          <a:spLocks noChangeShapeType="1"/>
        </xdr:cNvSpPr>
      </xdr:nvSpPr>
      <xdr:spPr bwMode="auto">
        <a:xfrm flipH="1" flipV="1">
          <a:off x="7559040" y="2872740"/>
          <a:ext cx="92202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428625</xdr:colOff>
      <xdr:row>11</xdr:row>
      <xdr:rowOff>131445</xdr:rowOff>
    </xdr:from>
    <xdr:to>
      <xdr:col>11</xdr:col>
      <xdr:colOff>123825</xdr:colOff>
      <xdr:row>13</xdr:row>
      <xdr:rowOff>93345</xdr:rowOff>
    </xdr:to>
    <xdr:sp macro="" textlink="">
      <xdr:nvSpPr>
        <xdr:cNvPr id="3091" name="Text Box 19">
          <a:extLst>
            <a:ext uri="{FF2B5EF4-FFF2-40B4-BE49-F238E27FC236}">
              <a16:creationId xmlns:a16="http://schemas.microsoft.com/office/drawing/2014/main" id="{9C5EE440-9804-4B95-B90D-88D52D09B57B}"/>
            </a:ext>
          </a:extLst>
        </xdr:cNvPr>
        <xdr:cNvSpPr txBox="1">
          <a:spLocks noChangeArrowheads="1"/>
        </xdr:cNvSpPr>
      </xdr:nvSpPr>
      <xdr:spPr bwMode="auto">
        <a:xfrm>
          <a:off x="7553325" y="1905000"/>
          <a:ext cx="30480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45720" tIns="36576" rIns="0" bIns="0" anchor="t" upright="1"/>
        <a:lstStyle/>
        <a:p>
          <a:pPr algn="l" rtl="0">
            <a:defRPr sz="1000"/>
          </a:pPr>
          <a:r>
            <a:rPr lang="en-US" sz="1800" b="1" i="0" u="none" strike="noStrike" baseline="0">
              <a:solidFill>
                <a:srgbClr val="000000"/>
              </a:solidFill>
              <a:latin typeface="Arial"/>
              <a:cs typeface="Arial"/>
            </a:rPr>
            <a:t>W</a:t>
          </a:r>
        </a:p>
      </xdr:txBody>
    </xdr:sp>
    <xdr:clientData/>
  </xdr:twoCellAnchor>
  <xdr:twoCellAnchor>
    <xdr:from>
      <xdr:col>11</xdr:col>
      <xdr:colOff>137160</xdr:colOff>
      <xdr:row>12</xdr:row>
      <xdr:rowOff>91440</xdr:rowOff>
    </xdr:from>
    <xdr:to>
      <xdr:col>11</xdr:col>
      <xdr:colOff>373380</xdr:colOff>
      <xdr:row>12</xdr:row>
      <xdr:rowOff>99060</xdr:rowOff>
    </xdr:to>
    <xdr:sp macro="" textlink="">
      <xdr:nvSpPr>
        <xdr:cNvPr id="3995" name="Line 20">
          <a:extLst>
            <a:ext uri="{FF2B5EF4-FFF2-40B4-BE49-F238E27FC236}">
              <a16:creationId xmlns:a16="http://schemas.microsoft.com/office/drawing/2014/main" id="{0413DBDD-3F29-4CC0-81B1-AD4E978D60C1}"/>
            </a:ext>
            <a:ext uri="{C183D7F6-B498-43B3-948B-1728B52AA6E4}">
              <adec:decorative xmlns:adec="http://schemas.microsoft.com/office/drawing/2017/decorative" val="1"/>
            </a:ext>
          </a:extLst>
        </xdr:cNvPr>
        <xdr:cNvSpPr>
          <a:spLocks noChangeShapeType="1"/>
        </xdr:cNvSpPr>
      </xdr:nvSpPr>
      <xdr:spPr bwMode="auto">
        <a:xfrm flipV="1">
          <a:off x="8008620" y="2103120"/>
          <a:ext cx="236220" cy="7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198120</xdr:colOff>
      <xdr:row>12</xdr:row>
      <xdr:rowOff>121920</xdr:rowOff>
    </xdr:from>
    <xdr:to>
      <xdr:col>10</xdr:col>
      <xdr:colOff>434340</xdr:colOff>
      <xdr:row>12</xdr:row>
      <xdr:rowOff>129540</xdr:rowOff>
    </xdr:to>
    <xdr:sp macro="" textlink="">
      <xdr:nvSpPr>
        <xdr:cNvPr id="3996" name="Line 21">
          <a:extLst>
            <a:ext uri="{FF2B5EF4-FFF2-40B4-BE49-F238E27FC236}">
              <a16:creationId xmlns:a16="http://schemas.microsoft.com/office/drawing/2014/main" id="{296DF144-99C9-4866-BF3A-7D99595386AE}"/>
            </a:ext>
            <a:ext uri="{C183D7F6-B498-43B3-948B-1728B52AA6E4}">
              <adec:decorative xmlns:adec="http://schemas.microsoft.com/office/drawing/2017/decorative" val="1"/>
            </a:ext>
          </a:extLst>
        </xdr:cNvPr>
        <xdr:cNvSpPr>
          <a:spLocks noChangeShapeType="1"/>
        </xdr:cNvSpPr>
      </xdr:nvSpPr>
      <xdr:spPr bwMode="auto">
        <a:xfrm flipH="1">
          <a:off x="7459980" y="2133600"/>
          <a:ext cx="236220" cy="76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66675</xdr:colOff>
      <xdr:row>1</xdr:row>
      <xdr:rowOff>38100</xdr:rowOff>
    </xdr:from>
    <xdr:to>
      <xdr:col>15</xdr:col>
      <xdr:colOff>219075</xdr:colOff>
      <xdr:row>4</xdr:row>
      <xdr:rowOff>93371</xdr:rowOff>
    </xdr:to>
    <xdr:sp macro="" textlink="">
      <xdr:nvSpPr>
        <xdr:cNvPr id="3094" name="Text Box 22">
          <a:extLst>
            <a:ext uri="{FF2B5EF4-FFF2-40B4-BE49-F238E27FC236}">
              <a16:creationId xmlns:a16="http://schemas.microsoft.com/office/drawing/2014/main" id="{B5F890C3-F4BD-492B-8D7C-EBE4B41B613B}"/>
            </a:ext>
          </a:extLst>
        </xdr:cNvPr>
        <xdr:cNvSpPr txBox="1">
          <a:spLocks noChangeArrowheads="1"/>
        </xdr:cNvSpPr>
      </xdr:nvSpPr>
      <xdr:spPr bwMode="auto">
        <a:xfrm>
          <a:off x="7800975" y="200025"/>
          <a:ext cx="2590800" cy="533400"/>
        </a:xfrm>
        <a:prstGeom prst="rect">
          <a:avLst/>
        </a:prstGeom>
        <a:solidFill>
          <a:schemeClr val="bg1"/>
        </a:solidFill>
        <a:ln w="19050">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27432" tIns="22860" rIns="0" bIns="0" anchor="t" upright="1"/>
        <a:lstStyle/>
        <a:p>
          <a:pPr algn="l" rtl="0">
            <a:defRPr sz="1000"/>
          </a:pPr>
          <a:r>
            <a:rPr lang="en-US" sz="1000" b="1" i="0" u="none" strike="noStrike" baseline="0">
              <a:solidFill>
                <a:srgbClr val="FF0000"/>
              </a:solidFill>
              <a:latin typeface="Arial"/>
              <a:cs typeface="Arial"/>
            </a:rPr>
            <a:t>Instructions- Input data only in LIGHT BLUE colored cells.  Yellow cells highlight important design info.</a:t>
          </a:r>
        </a:p>
      </xdr:txBody>
    </xdr:sp>
    <xdr:clientData/>
  </xdr:twoCellAnchor>
  <xdr:twoCellAnchor>
    <xdr:from>
      <xdr:col>9</xdr:col>
      <xdr:colOff>76200</xdr:colOff>
      <xdr:row>3</xdr:row>
      <xdr:rowOff>106680</xdr:rowOff>
    </xdr:from>
    <xdr:to>
      <xdr:col>10</xdr:col>
      <xdr:colOff>563880</xdr:colOff>
      <xdr:row>5</xdr:row>
      <xdr:rowOff>76200</xdr:rowOff>
    </xdr:to>
    <xdr:sp macro="" textlink="">
      <xdr:nvSpPr>
        <xdr:cNvPr id="3998" name="Line 23">
          <a:extLst>
            <a:ext uri="{FF2B5EF4-FFF2-40B4-BE49-F238E27FC236}">
              <a16:creationId xmlns:a16="http://schemas.microsoft.com/office/drawing/2014/main" id="{DFDC22E6-F6C2-446D-9990-3D4B7AD20C16}"/>
            </a:ext>
            <a:ext uri="{C183D7F6-B498-43B3-948B-1728B52AA6E4}">
              <adec:decorative xmlns:adec="http://schemas.microsoft.com/office/drawing/2017/decorative" val="1"/>
            </a:ext>
          </a:extLst>
        </xdr:cNvPr>
        <xdr:cNvSpPr>
          <a:spLocks noChangeShapeType="1"/>
        </xdr:cNvSpPr>
      </xdr:nvSpPr>
      <xdr:spPr bwMode="auto">
        <a:xfrm flipH="1">
          <a:off x="6728460" y="609600"/>
          <a:ext cx="1097280" cy="304800"/>
        </a:xfrm>
        <a:prstGeom prst="line">
          <a:avLst/>
        </a:prstGeom>
        <a:noFill/>
        <a:ln w="19050">
          <a:solidFill>
            <a:srgbClr xmlns:mc="http://schemas.openxmlformats.org/markup-compatibility/2006" xmlns:a14="http://schemas.microsoft.com/office/drawing/2010/main" val="FF0000" mc:Ignorable="a14" a14:legacySpreadsheetColorIndex="1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10</xdr:col>
      <xdr:colOff>182880</xdr:colOff>
      <xdr:row>12</xdr:row>
      <xdr:rowOff>68580</xdr:rowOff>
    </xdr:from>
    <xdr:to>
      <xdr:col>10</xdr:col>
      <xdr:colOff>182880</xdr:colOff>
      <xdr:row>17</xdr:row>
      <xdr:rowOff>68580</xdr:rowOff>
    </xdr:to>
    <xdr:sp macro="" textlink="">
      <xdr:nvSpPr>
        <xdr:cNvPr id="3999" name="Line 24">
          <a:extLst>
            <a:ext uri="{FF2B5EF4-FFF2-40B4-BE49-F238E27FC236}">
              <a16:creationId xmlns:a16="http://schemas.microsoft.com/office/drawing/2014/main" id="{799DE1DA-E151-4472-A5BB-1EEFE9D7867B}"/>
            </a:ext>
            <a:ext uri="{C183D7F6-B498-43B3-948B-1728B52AA6E4}">
              <adec:decorative xmlns:adec="http://schemas.microsoft.com/office/drawing/2017/decorative" val="1"/>
            </a:ext>
          </a:extLst>
        </xdr:cNvPr>
        <xdr:cNvSpPr>
          <a:spLocks noChangeShapeType="1"/>
        </xdr:cNvSpPr>
      </xdr:nvSpPr>
      <xdr:spPr bwMode="auto">
        <a:xfrm flipV="1">
          <a:off x="7444740" y="2080260"/>
          <a:ext cx="0" cy="8382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129540</xdr:colOff>
      <xdr:row>66</xdr:row>
      <xdr:rowOff>7620</xdr:rowOff>
    </xdr:from>
    <xdr:to>
      <xdr:col>5</xdr:col>
      <xdr:colOff>571500</xdr:colOff>
      <xdr:row>76</xdr:row>
      <xdr:rowOff>22860</xdr:rowOff>
    </xdr:to>
    <xdr:sp macro="" textlink="">
      <xdr:nvSpPr>
        <xdr:cNvPr id="4000" name="AutoShape 68">
          <a:extLst>
            <a:ext uri="{FF2B5EF4-FFF2-40B4-BE49-F238E27FC236}">
              <a16:creationId xmlns:a16="http://schemas.microsoft.com/office/drawing/2014/main" id="{C3AF53EC-43DA-4D30-BE83-C499BA9A5D5A}"/>
            </a:ext>
            <a:ext uri="{C183D7F6-B498-43B3-948B-1728B52AA6E4}">
              <adec:decorative xmlns:adec="http://schemas.microsoft.com/office/drawing/2017/decorative" val="1"/>
            </a:ext>
          </a:extLst>
        </xdr:cNvPr>
        <xdr:cNvSpPr>
          <a:spLocks/>
        </xdr:cNvSpPr>
      </xdr:nvSpPr>
      <xdr:spPr bwMode="auto">
        <a:xfrm>
          <a:off x="4091940" y="11239500"/>
          <a:ext cx="441960" cy="1691640"/>
        </a:xfrm>
        <a:prstGeom prst="rightBrace">
          <a:avLst>
            <a:gd name="adj1" fmla="val 31897"/>
            <a:gd name="adj2" fmla="val 49125"/>
          </a:avLst>
        </a:prstGeom>
        <a:noFill/>
        <a:ln w="2540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327660</xdr:colOff>
      <xdr:row>62</xdr:row>
      <xdr:rowOff>91440</xdr:rowOff>
    </xdr:from>
    <xdr:to>
      <xdr:col>6</xdr:col>
      <xdr:colOff>0</xdr:colOff>
      <xdr:row>64</xdr:row>
      <xdr:rowOff>68580</xdr:rowOff>
    </xdr:to>
    <xdr:sp macro="" textlink="">
      <xdr:nvSpPr>
        <xdr:cNvPr id="4001" name="Line 69">
          <a:extLst>
            <a:ext uri="{FF2B5EF4-FFF2-40B4-BE49-F238E27FC236}">
              <a16:creationId xmlns:a16="http://schemas.microsoft.com/office/drawing/2014/main" id="{C79D2169-C754-4775-98CE-12086CB4210B}"/>
            </a:ext>
            <a:ext uri="{C183D7F6-B498-43B3-948B-1728B52AA6E4}">
              <adec:decorative xmlns:adec="http://schemas.microsoft.com/office/drawing/2017/decorative" val="1"/>
            </a:ext>
          </a:extLst>
        </xdr:cNvPr>
        <xdr:cNvSpPr>
          <a:spLocks noChangeShapeType="1"/>
        </xdr:cNvSpPr>
      </xdr:nvSpPr>
      <xdr:spPr bwMode="auto">
        <a:xfrm>
          <a:off x="4290060" y="10629900"/>
          <a:ext cx="388620" cy="31242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5</xdr:col>
      <xdr:colOff>579120</xdr:colOff>
      <xdr:row>64</xdr:row>
      <xdr:rowOff>76200</xdr:rowOff>
    </xdr:from>
    <xdr:to>
      <xdr:col>6</xdr:col>
      <xdr:colOff>0</xdr:colOff>
      <xdr:row>70</xdr:row>
      <xdr:rowOff>144780</xdr:rowOff>
    </xdr:to>
    <xdr:sp macro="" textlink="">
      <xdr:nvSpPr>
        <xdr:cNvPr id="4002" name="Line 70">
          <a:extLst>
            <a:ext uri="{FF2B5EF4-FFF2-40B4-BE49-F238E27FC236}">
              <a16:creationId xmlns:a16="http://schemas.microsoft.com/office/drawing/2014/main" id="{FC0399FA-71EA-4CD7-860C-5E2E60BFF4D2}"/>
            </a:ext>
            <a:ext uri="{C183D7F6-B498-43B3-948B-1728B52AA6E4}">
              <adec:decorative xmlns:adec="http://schemas.microsoft.com/office/drawing/2017/decorative" val="1"/>
            </a:ext>
          </a:extLst>
        </xdr:cNvPr>
        <xdr:cNvSpPr>
          <a:spLocks noChangeShapeType="1"/>
        </xdr:cNvSpPr>
      </xdr:nvSpPr>
      <xdr:spPr bwMode="auto">
        <a:xfrm flipH="1">
          <a:off x="4541520" y="10949940"/>
          <a:ext cx="137160" cy="109728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45720</xdr:colOff>
      <xdr:row>38</xdr:row>
      <xdr:rowOff>190500</xdr:rowOff>
    </xdr:from>
    <xdr:to>
      <xdr:col>6</xdr:col>
      <xdr:colOff>563880</xdr:colOff>
      <xdr:row>42</xdr:row>
      <xdr:rowOff>144780</xdr:rowOff>
    </xdr:to>
    <xdr:sp macro="" textlink="">
      <xdr:nvSpPr>
        <xdr:cNvPr id="4003" name="Line 71">
          <a:extLst>
            <a:ext uri="{FF2B5EF4-FFF2-40B4-BE49-F238E27FC236}">
              <a16:creationId xmlns:a16="http://schemas.microsoft.com/office/drawing/2014/main" id="{9D594F9D-D556-465F-9F4D-64A7A654A8DF}"/>
            </a:ext>
            <a:ext uri="{C183D7F6-B498-43B3-948B-1728B52AA6E4}">
              <adec:decorative xmlns:adec="http://schemas.microsoft.com/office/drawing/2017/decorative" val="1"/>
            </a:ext>
          </a:extLst>
        </xdr:cNvPr>
        <xdr:cNvSpPr>
          <a:spLocks noChangeShapeType="1"/>
        </xdr:cNvSpPr>
      </xdr:nvSpPr>
      <xdr:spPr bwMode="auto">
        <a:xfrm flipH="1">
          <a:off x="4008120" y="6652260"/>
          <a:ext cx="1234440" cy="6553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13</xdr:col>
      <xdr:colOff>295275</xdr:colOff>
      <xdr:row>43</xdr:row>
      <xdr:rowOff>133350</xdr:rowOff>
    </xdr:from>
    <xdr:to>
      <xdr:col>16</xdr:col>
      <xdr:colOff>520094</xdr:colOff>
      <xdr:row>46</xdr:row>
      <xdr:rowOff>95250</xdr:rowOff>
    </xdr:to>
    <xdr:sp macro="" textlink="">
      <xdr:nvSpPr>
        <xdr:cNvPr id="3161" name="Text Box 89">
          <a:extLst>
            <a:ext uri="{FF2B5EF4-FFF2-40B4-BE49-F238E27FC236}">
              <a16:creationId xmlns:a16="http://schemas.microsoft.com/office/drawing/2014/main" id="{4AC7480B-72BB-4812-A718-CCC583E596C8}"/>
            </a:ext>
          </a:extLst>
        </xdr:cNvPr>
        <xdr:cNvSpPr txBox="1">
          <a:spLocks noChangeArrowheads="1"/>
        </xdr:cNvSpPr>
      </xdr:nvSpPr>
      <xdr:spPr bwMode="auto">
        <a:xfrm>
          <a:off x="9248775" y="7219950"/>
          <a:ext cx="2038350" cy="4476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ctr" rtl="0">
            <a:defRPr sz="1000"/>
          </a:pPr>
          <a:r>
            <a:rPr lang="en-US" sz="1200" b="1" i="0" u="none" strike="noStrike" baseline="0">
              <a:solidFill>
                <a:srgbClr val="3366FF"/>
              </a:solidFill>
              <a:latin typeface="Arial"/>
              <a:cs typeface="Arial"/>
            </a:rPr>
            <a:t>Gutter Styles/Sizes Available to Choose From</a:t>
          </a:r>
        </a:p>
      </xdr:txBody>
    </xdr:sp>
    <xdr:clientData/>
  </xdr:twoCellAnchor>
  <xdr:twoCellAnchor editAs="oneCell">
    <xdr:from>
      <xdr:col>10</xdr:col>
      <xdr:colOff>175260</xdr:colOff>
      <xdr:row>33</xdr:row>
      <xdr:rowOff>22860</xdr:rowOff>
    </xdr:from>
    <xdr:to>
      <xdr:col>13</xdr:col>
      <xdr:colOff>38100</xdr:colOff>
      <xdr:row>42</xdr:row>
      <xdr:rowOff>76200</xdr:rowOff>
    </xdr:to>
    <xdr:pic>
      <xdr:nvPicPr>
        <xdr:cNvPr id="4005" name="Picture 96" descr="Image of a Box Ogee Galvanized Gutter">
          <a:extLst>
            <a:ext uri="{FF2B5EF4-FFF2-40B4-BE49-F238E27FC236}">
              <a16:creationId xmlns:a16="http://schemas.microsoft.com/office/drawing/2014/main" id="{B57EDC29-6879-4DB8-BFBA-6B10BB7683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37120" y="5646420"/>
          <a:ext cx="1691640" cy="1592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464820</xdr:colOff>
      <xdr:row>33</xdr:row>
      <xdr:rowOff>144780</xdr:rowOff>
    </xdr:from>
    <xdr:to>
      <xdr:col>16</xdr:col>
      <xdr:colOff>129540</xdr:colOff>
      <xdr:row>42</xdr:row>
      <xdr:rowOff>91440</xdr:rowOff>
    </xdr:to>
    <xdr:pic>
      <xdr:nvPicPr>
        <xdr:cNvPr id="4006" name="Picture 97" descr="Image of a Box Ogee Aluminum Gutter">
          <a:extLst>
            <a:ext uri="{FF2B5EF4-FFF2-40B4-BE49-F238E27FC236}">
              <a16:creationId xmlns:a16="http://schemas.microsoft.com/office/drawing/2014/main" id="{B8DA54CE-56C6-4E0C-A200-7639F2D3FDD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55480" y="5768340"/>
          <a:ext cx="1493520" cy="1485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16</xdr:col>
      <xdr:colOff>541020</xdr:colOff>
      <xdr:row>36</xdr:row>
      <xdr:rowOff>99060</xdr:rowOff>
    </xdr:from>
    <xdr:to>
      <xdr:col>17</xdr:col>
      <xdr:colOff>678180</xdr:colOff>
      <xdr:row>42</xdr:row>
      <xdr:rowOff>38100</xdr:rowOff>
    </xdr:to>
    <xdr:pic>
      <xdr:nvPicPr>
        <xdr:cNvPr id="4007" name="Picture 98" descr="Image of a Semi-circle gutter">
          <a:extLst>
            <a:ext uri="{FF2B5EF4-FFF2-40B4-BE49-F238E27FC236}">
              <a16:creationId xmlns:a16="http://schemas.microsoft.com/office/drawing/2014/main" id="{829D21DA-A396-4183-8466-8171D4CE9BC3}"/>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1460480" y="6225540"/>
          <a:ext cx="84582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228600</xdr:colOff>
      <xdr:row>32</xdr:row>
      <xdr:rowOff>104775</xdr:rowOff>
    </xdr:from>
    <xdr:to>
      <xdr:col>10</xdr:col>
      <xdr:colOff>495300</xdr:colOff>
      <xdr:row>33</xdr:row>
      <xdr:rowOff>133350</xdr:rowOff>
    </xdr:to>
    <xdr:sp macro="" textlink="">
      <xdr:nvSpPr>
        <xdr:cNvPr id="3165" name="Text Box 93">
          <a:extLst>
            <a:ext uri="{FF2B5EF4-FFF2-40B4-BE49-F238E27FC236}">
              <a16:creationId xmlns:a16="http://schemas.microsoft.com/office/drawing/2014/main" id="{92103D25-2B8F-4D22-A8DE-9A7497654904}"/>
            </a:ext>
          </a:extLst>
        </xdr:cNvPr>
        <xdr:cNvSpPr txBox="1">
          <a:spLocks noChangeArrowheads="1"/>
        </xdr:cNvSpPr>
      </xdr:nvSpPr>
      <xdr:spPr bwMode="auto">
        <a:xfrm>
          <a:off x="7353300" y="5372100"/>
          <a:ext cx="266700"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200" b="1" i="0" u="none" strike="noStrike" baseline="0">
              <a:solidFill>
                <a:srgbClr val="0000FF"/>
              </a:solidFill>
              <a:latin typeface="Arial"/>
              <a:cs typeface="Arial"/>
            </a:rPr>
            <a:t>A</a:t>
          </a:r>
        </a:p>
      </xdr:txBody>
    </xdr:sp>
    <xdr:clientData/>
  </xdr:twoCellAnchor>
  <xdr:twoCellAnchor>
    <xdr:from>
      <xdr:col>14</xdr:col>
      <xdr:colOff>561975</xdr:colOff>
      <xdr:row>33</xdr:row>
      <xdr:rowOff>19050</xdr:rowOff>
    </xdr:from>
    <xdr:to>
      <xdr:col>15</xdr:col>
      <xdr:colOff>200025</xdr:colOff>
      <xdr:row>34</xdr:row>
      <xdr:rowOff>104775</xdr:rowOff>
    </xdr:to>
    <xdr:sp macro="" textlink="">
      <xdr:nvSpPr>
        <xdr:cNvPr id="3167" name="Text Box 95">
          <a:extLst>
            <a:ext uri="{FF2B5EF4-FFF2-40B4-BE49-F238E27FC236}">
              <a16:creationId xmlns:a16="http://schemas.microsoft.com/office/drawing/2014/main" id="{9DDDF9B7-478F-4FFE-9993-7BF58923D0E6}"/>
            </a:ext>
          </a:extLst>
        </xdr:cNvPr>
        <xdr:cNvSpPr txBox="1">
          <a:spLocks noChangeArrowheads="1"/>
        </xdr:cNvSpPr>
      </xdr:nvSpPr>
      <xdr:spPr bwMode="auto">
        <a:xfrm>
          <a:off x="10125075" y="5448300"/>
          <a:ext cx="247650" cy="24765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200" b="1" i="0" u="none" strike="noStrike" baseline="0">
              <a:solidFill>
                <a:srgbClr val="0000FF"/>
              </a:solidFill>
              <a:latin typeface="Arial"/>
              <a:cs typeface="Arial"/>
            </a:rPr>
            <a:t>B</a:t>
          </a:r>
        </a:p>
      </xdr:txBody>
    </xdr:sp>
    <xdr:clientData/>
  </xdr:twoCellAnchor>
  <xdr:twoCellAnchor>
    <xdr:from>
      <xdr:col>17</xdr:col>
      <xdr:colOff>57150</xdr:colOff>
      <xdr:row>33</xdr:row>
      <xdr:rowOff>121920</xdr:rowOff>
    </xdr:from>
    <xdr:to>
      <xdr:col>17</xdr:col>
      <xdr:colOff>322118</xdr:colOff>
      <xdr:row>34</xdr:row>
      <xdr:rowOff>142948</xdr:rowOff>
    </xdr:to>
    <xdr:sp macro="" textlink="">
      <xdr:nvSpPr>
        <xdr:cNvPr id="3166" name="Text Box 94">
          <a:extLst>
            <a:ext uri="{FF2B5EF4-FFF2-40B4-BE49-F238E27FC236}">
              <a16:creationId xmlns:a16="http://schemas.microsoft.com/office/drawing/2014/main" id="{7B3D3C87-5A38-49D8-822D-3EC20F15019F}"/>
            </a:ext>
          </a:extLst>
        </xdr:cNvPr>
        <xdr:cNvSpPr txBox="1">
          <a:spLocks noChangeArrowheads="1"/>
        </xdr:cNvSpPr>
      </xdr:nvSpPr>
      <xdr:spPr bwMode="auto">
        <a:xfrm>
          <a:off x="11525250" y="5543550"/>
          <a:ext cx="257175" cy="19050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0" anchor="t" upright="1"/>
        <a:lstStyle/>
        <a:p>
          <a:pPr algn="l" rtl="0">
            <a:defRPr sz="1000"/>
          </a:pPr>
          <a:r>
            <a:rPr lang="en-US" sz="1200" b="1" i="0" u="none" strike="noStrike" baseline="0">
              <a:solidFill>
                <a:srgbClr val="0000FF"/>
              </a:solidFill>
              <a:latin typeface="Arial"/>
              <a:cs typeface="Arial"/>
            </a:rPr>
            <a:t>C</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190500</xdr:colOff>
      <xdr:row>22</xdr:row>
      <xdr:rowOff>47625</xdr:rowOff>
    </xdr:from>
    <xdr:to>
      <xdr:col>20</xdr:col>
      <xdr:colOff>314325</xdr:colOff>
      <xdr:row>33</xdr:row>
      <xdr:rowOff>142875</xdr:rowOff>
    </xdr:to>
    <xdr:pic>
      <xdr:nvPicPr>
        <xdr:cNvPr id="4098" name="Picture 2" descr="Image showing Roof Runoff Computations">
          <a:extLst>
            <a:ext uri="{FF2B5EF4-FFF2-40B4-BE49-F238E27FC236}">
              <a16:creationId xmlns:a16="http://schemas.microsoft.com/office/drawing/2014/main" id="{B5C3D96D-09DD-4E31-9EB0-0F78C5AE900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000" b="64744"/>
        <a:stretch/>
      </xdr:blipFill>
      <xdr:spPr bwMode="auto">
        <a:xfrm>
          <a:off x="6286500" y="3609975"/>
          <a:ext cx="6219825" cy="1876425"/>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114300</xdr:colOff>
      <xdr:row>5</xdr:row>
      <xdr:rowOff>134178</xdr:rowOff>
    </xdr:from>
    <xdr:to>
      <xdr:col>9</xdr:col>
      <xdr:colOff>504825</xdr:colOff>
      <xdr:row>50</xdr:row>
      <xdr:rowOff>104099</xdr:rowOff>
    </xdr:to>
    <xdr:pic>
      <xdr:nvPicPr>
        <xdr:cNvPr id="2" name="Picture 1" descr="Chapter 10 Agricultural Waste Management Systems Component Design for roof gutters and downspouts">
          <a:extLst>
            <a:ext uri="{FF2B5EF4-FFF2-40B4-BE49-F238E27FC236}">
              <a16:creationId xmlns:a16="http://schemas.microsoft.com/office/drawing/2014/main" id="{0708D6CD-B623-4D4F-ADE8-800AF8E28C6A}"/>
            </a:ext>
          </a:extLst>
        </xdr:cNvPr>
        <xdr:cNvPicPr>
          <a:picLocks noChangeAspect="1"/>
        </xdr:cNvPicPr>
      </xdr:nvPicPr>
      <xdr:blipFill>
        <a:blip xmlns:r="http://schemas.openxmlformats.org/officeDocument/2006/relationships" r:embed="rId2"/>
        <a:stretch>
          <a:fillRect/>
        </a:stretch>
      </xdr:blipFill>
      <xdr:spPr>
        <a:xfrm>
          <a:off x="723900" y="936183"/>
          <a:ext cx="5267325" cy="7264159"/>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4"/>
  <sheetViews>
    <sheetView tabSelected="1" topLeftCell="A34" zoomScale="78" zoomScaleNormal="78" workbookViewId="0">
      <selection activeCell="J48" sqref="J48"/>
    </sheetView>
  </sheetViews>
  <sheetFormatPr defaultColWidth="9.109375" defaultRowHeight="13.2" x14ac:dyDescent="0.25"/>
  <cols>
    <col min="1" max="1" width="11.33203125" style="122" customWidth="1"/>
    <col min="2" max="2" width="9.109375" style="122"/>
    <col min="3" max="3" width="9.44140625" style="122" customWidth="1"/>
    <col min="4" max="4" width="18.6640625" style="122" customWidth="1"/>
    <col min="5" max="5" width="9.33203125" style="122" customWidth="1"/>
    <col min="6" max="6" width="10.44140625" style="111" customWidth="1"/>
    <col min="7" max="16" width="9.109375" style="122"/>
    <col min="17" max="17" width="20.5546875" style="122" customWidth="1"/>
    <col min="18" max="18" width="20.109375" style="122" bestFit="1" customWidth="1"/>
    <col min="19" max="16384" width="9.109375" style="122"/>
  </cols>
  <sheetData>
    <row r="1" spans="1:9" x14ac:dyDescent="0.25">
      <c r="B1" s="123" t="s">
        <v>136</v>
      </c>
    </row>
    <row r="3" spans="1:9" x14ac:dyDescent="0.25">
      <c r="C3" s="91" t="s">
        <v>99</v>
      </c>
      <c r="D3" s="220" t="s">
        <v>109</v>
      </c>
      <c r="E3" s="220"/>
    </row>
    <row r="4" spans="1:9" x14ac:dyDescent="0.25">
      <c r="C4" s="91" t="s">
        <v>100</v>
      </c>
      <c r="D4" s="220" t="s">
        <v>110</v>
      </c>
      <c r="E4" s="220"/>
    </row>
    <row r="5" spans="1:9" x14ac:dyDescent="0.25">
      <c r="C5" s="91"/>
    </row>
    <row r="6" spans="1:9" x14ac:dyDescent="0.25">
      <c r="C6" s="91" t="s">
        <v>101</v>
      </c>
      <c r="D6" s="220" t="s">
        <v>111</v>
      </c>
      <c r="E6" s="221"/>
      <c r="F6" s="221"/>
      <c r="G6" s="221"/>
      <c r="H6" s="221"/>
      <c r="I6" s="221"/>
    </row>
    <row r="7" spans="1:9" x14ac:dyDescent="0.25">
      <c r="C7" s="91"/>
    </row>
    <row r="8" spans="1:9" x14ac:dyDescent="0.25">
      <c r="C8" s="91" t="s">
        <v>102</v>
      </c>
      <c r="D8" s="220" t="s">
        <v>112</v>
      </c>
      <c r="E8" s="220"/>
      <c r="G8" s="91" t="s">
        <v>104</v>
      </c>
      <c r="H8" s="125"/>
      <c r="I8" s="125"/>
    </row>
    <row r="9" spans="1:9" x14ac:dyDescent="0.25">
      <c r="C9" s="91" t="s">
        <v>103</v>
      </c>
      <c r="D9" s="72">
        <v>38814</v>
      </c>
      <c r="G9" s="91" t="s">
        <v>103</v>
      </c>
      <c r="H9" s="126"/>
      <c r="I9" s="127"/>
    </row>
    <row r="10" spans="1:9" x14ac:dyDescent="0.25">
      <c r="C10" s="91"/>
      <c r="D10" s="90"/>
      <c r="G10" s="91"/>
      <c r="H10" s="127"/>
      <c r="I10" s="127"/>
    </row>
    <row r="11" spans="1:9" x14ac:dyDescent="0.25">
      <c r="C11" s="91" t="s">
        <v>125</v>
      </c>
      <c r="D11" s="208"/>
      <c r="E11" s="209"/>
      <c r="F11" s="209"/>
      <c r="G11" s="209"/>
      <c r="H11" s="209"/>
      <c r="I11" s="209"/>
    </row>
    <row r="12" spans="1:9" x14ac:dyDescent="0.25">
      <c r="C12" s="91"/>
      <c r="D12" s="209"/>
      <c r="E12" s="209"/>
      <c r="F12" s="209"/>
      <c r="G12" s="209"/>
      <c r="H12" s="209"/>
      <c r="I12" s="209"/>
    </row>
    <row r="13" spans="1:9" x14ac:dyDescent="0.25">
      <c r="A13" s="127"/>
      <c r="B13" s="127"/>
      <c r="C13" s="127"/>
      <c r="D13" s="127"/>
      <c r="E13" s="127"/>
      <c r="F13" s="128"/>
      <c r="G13" s="127"/>
      <c r="H13" s="127"/>
      <c r="I13" s="127"/>
    </row>
    <row r="14" spans="1:9" x14ac:dyDescent="0.25">
      <c r="A14" s="127"/>
      <c r="B14" s="127"/>
      <c r="C14" s="233" t="s">
        <v>105</v>
      </c>
      <c r="D14" s="234"/>
      <c r="E14" s="234"/>
      <c r="F14" s="234"/>
      <c r="G14" s="127"/>
      <c r="H14" s="127"/>
      <c r="I14" s="127"/>
    </row>
    <row r="15" spans="1:9" x14ac:dyDescent="0.25">
      <c r="A15" s="127"/>
      <c r="B15" s="127"/>
      <c r="C15" s="129"/>
      <c r="D15" s="131"/>
      <c r="E15" s="130"/>
      <c r="F15" s="130"/>
      <c r="G15" s="127"/>
      <c r="H15" s="127"/>
      <c r="I15" s="127"/>
    </row>
    <row r="16" spans="1:9" x14ac:dyDescent="0.25">
      <c r="A16" s="127"/>
      <c r="B16" s="127"/>
      <c r="C16" s="132" t="s">
        <v>113</v>
      </c>
      <c r="D16" s="82">
        <v>10</v>
      </c>
      <c r="E16" s="131" t="s">
        <v>114</v>
      </c>
      <c r="F16" s="130"/>
      <c r="G16" s="127"/>
      <c r="H16" s="127"/>
      <c r="I16" s="127"/>
    </row>
    <row r="17" spans="1:17" x14ac:dyDescent="0.25">
      <c r="E17" s="91"/>
      <c r="F17" s="133"/>
    </row>
    <row r="18" spans="1:17" x14ac:dyDescent="0.25">
      <c r="C18" s="91" t="s">
        <v>115</v>
      </c>
      <c r="D18" s="84">
        <f>IF(D16=10,0.5,IF(D16=25,0.6,"n/a"))</f>
        <v>0.5</v>
      </c>
      <c r="E18" s="122" t="s">
        <v>116</v>
      </c>
      <c r="F18" s="122"/>
    </row>
    <row r="19" spans="1:17" x14ac:dyDescent="0.25">
      <c r="C19" s="91"/>
      <c r="D19" s="134"/>
      <c r="F19" s="122"/>
    </row>
    <row r="20" spans="1:17" ht="24" customHeight="1" x14ac:dyDescent="0.3">
      <c r="B20" s="225" t="str">
        <f>IF(D18="n/a","MUST SPECIFY STORM FREQUENCY AS EITHER 10 OR 25-YR","")</f>
        <v/>
      </c>
      <c r="C20" s="226"/>
      <c r="D20" s="226"/>
      <c r="E20" s="226"/>
      <c r="F20" s="226"/>
      <c r="G20" s="226"/>
      <c r="H20" s="226"/>
      <c r="I20" s="226"/>
    </row>
    <row r="21" spans="1:17" x14ac:dyDescent="0.25">
      <c r="C21" s="91"/>
      <c r="D21" s="136"/>
      <c r="F21" s="122"/>
    </row>
    <row r="22" spans="1:17" x14ac:dyDescent="0.25">
      <c r="B22" s="235" t="s">
        <v>128</v>
      </c>
      <c r="C22" s="235"/>
      <c r="D22" s="235"/>
      <c r="E22" s="235"/>
      <c r="F22" s="122"/>
    </row>
    <row r="23" spans="1:17" x14ac:dyDescent="0.25">
      <c r="C23" s="91" t="s">
        <v>0</v>
      </c>
      <c r="D23" s="59">
        <v>1300</v>
      </c>
      <c r="F23" s="137"/>
      <c r="I23" s="138"/>
    </row>
    <row r="24" spans="1:17" x14ac:dyDescent="0.25">
      <c r="C24" s="91" t="s">
        <v>129</v>
      </c>
      <c r="D24" s="59">
        <v>10</v>
      </c>
      <c r="F24" s="139"/>
      <c r="G24" s="139"/>
      <c r="H24" s="140" t="s">
        <v>117</v>
      </c>
      <c r="I24" s="141">
        <f>D18/12*D$25/300</f>
        <v>1.8055555555555554</v>
      </c>
    </row>
    <row r="25" spans="1:17" ht="15.6" x14ac:dyDescent="0.25">
      <c r="C25" s="91" t="s">
        <v>1</v>
      </c>
      <c r="D25" s="111">
        <f>D23*D24</f>
        <v>13000</v>
      </c>
      <c r="F25" s="122"/>
      <c r="H25" s="91" t="s">
        <v>118</v>
      </c>
      <c r="I25" s="111">
        <f>I24/D23</f>
        <v>1.3888888888888887E-3</v>
      </c>
    </row>
    <row r="26" spans="1:17" x14ac:dyDescent="0.25">
      <c r="C26" s="91"/>
      <c r="D26" s="111"/>
      <c r="F26" s="122"/>
      <c r="H26" s="91"/>
      <c r="I26" s="111"/>
    </row>
    <row r="27" spans="1:17" x14ac:dyDescent="0.25">
      <c r="C27" s="91"/>
      <c r="D27" s="111"/>
      <c r="F27" s="122"/>
      <c r="H27" s="91"/>
      <c r="I27" s="111"/>
    </row>
    <row r="28" spans="1:17" x14ac:dyDescent="0.25">
      <c r="A28" s="142"/>
      <c r="B28" s="142"/>
      <c r="C28" s="250" t="s">
        <v>106</v>
      </c>
      <c r="D28" s="250"/>
      <c r="E28" s="250"/>
      <c r="F28" s="250"/>
      <c r="G28" s="142"/>
      <c r="H28" s="143"/>
      <c r="I28" s="144"/>
    </row>
    <row r="29" spans="1:17" x14ac:dyDescent="0.25">
      <c r="D29" s="111"/>
      <c r="F29" s="122"/>
    </row>
    <row r="30" spans="1:17" x14ac:dyDescent="0.25">
      <c r="C30" s="91" t="s">
        <v>176</v>
      </c>
      <c r="D30" s="59" t="s">
        <v>177</v>
      </c>
      <c r="E30" s="145" t="str">
        <f>IF(D30="A","Box Ogee (Galv.)",IF(D30="B","Box Ogee (Alum.)",IF(D30="C","Semi-Circle","&lt;~~ Must Enter A, B, or C")))</f>
        <v>Box Ogee (Alum.)</v>
      </c>
      <c r="F30" s="146"/>
    </row>
    <row r="31" spans="1:17" x14ac:dyDescent="0.25">
      <c r="E31" s="91"/>
      <c r="F31" s="133"/>
      <c r="G31" s="135"/>
      <c r="I31" s="127"/>
      <c r="K31" s="223"/>
      <c r="L31" s="232"/>
      <c r="M31" s="232"/>
      <c r="N31" s="232"/>
      <c r="O31" s="232"/>
      <c r="P31" s="232"/>
      <c r="Q31" s="232"/>
    </row>
    <row r="32" spans="1:17" x14ac:dyDescent="0.25">
      <c r="E32" s="91" t="s">
        <v>28</v>
      </c>
      <c r="F32" s="147" t="str">
        <f>IF(D30="A","Choose from 5, 6, or 7 (inch)",IF(D30="B","Choose from 5 or 6 (inch)",IF(D30="C","6 (inch)","Must Seclect A, B, or C above")))</f>
        <v>Choose from 5 or 6 (inch)</v>
      </c>
      <c r="G32" s="148"/>
      <c r="H32" s="148"/>
      <c r="I32" s="175"/>
      <c r="J32" s="175"/>
      <c r="K32" s="232"/>
      <c r="L32" s="232"/>
      <c r="M32" s="232"/>
      <c r="N32" s="232"/>
      <c r="O32" s="232"/>
      <c r="P32" s="232"/>
      <c r="Q32" s="232"/>
    </row>
    <row r="33" spans="1:29" x14ac:dyDescent="0.25">
      <c r="I33" s="175"/>
      <c r="J33" s="175"/>
      <c r="K33" s="232"/>
      <c r="L33" s="232"/>
      <c r="M33" s="232"/>
      <c r="N33" s="232"/>
      <c r="O33" s="232"/>
      <c r="P33" s="232"/>
      <c r="Q33" s="232"/>
    </row>
    <row r="34" spans="1:29" x14ac:dyDescent="0.25">
      <c r="C34" s="227" t="s">
        <v>174</v>
      </c>
      <c r="D34" s="224"/>
      <c r="E34" s="224"/>
      <c r="I34" s="175"/>
      <c r="J34" s="175"/>
      <c r="K34" s="232"/>
      <c r="L34" s="232"/>
      <c r="M34" s="232"/>
      <c r="N34" s="232"/>
      <c r="O34" s="232"/>
      <c r="P34" s="232"/>
      <c r="Q34" s="232"/>
      <c r="V34" s="128" t="s">
        <v>121</v>
      </c>
      <c r="X34" s="122" t="s">
        <v>31</v>
      </c>
    </row>
    <row r="35" spans="1:29" x14ac:dyDescent="0.25">
      <c r="C35" s="224"/>
      <c r="D35" s="224"/>
      <c r="E35" s="224"/>
      <c r="F35" s="60">
        <v>6</v>
      </c>
      <c r="I35" s="175"/>
      <c r="J35" s="175"/>
      <c r="K35" s="232"/>
      <c r="L35" s="232"/>
      <c r="M35" s="232"/>
      <c r="N35" s="232"/>
      <c r="O35" s="232"/>
      <c r="P35" s="232"/>
      <c r="Q35" s="232"/>
      <c r="V35" s="150">
        <f>IF(D30="A",X35,IF(D30="B",X38,IF(D30="C",X41,"Must Select Gutter Type as A, B, or C")))</f>
        <v>4.1989999999999998</v>
      </c>
      <c r="X35" s="111">
        <f>IF(F35=5,3.045,IF(F35=6,4.708,IF(F35=7,8.138,"Must specify size as either 5, 6, or 7 (inch)")))</f>
        <v>4.7080000000000002</v>
      </c>
    </row>
    <row r="36" spans="1:29" x14ac:dyDescent="0.25">
      <c r="I36" s="175"/>
      <c r="J36" s="175"/>
      <c r="K36" s="232"/>
      <c r="L36" s="232"/>
      <c r="M36" s="232"/>
      <c r="N36" s="232"/>
      <c r="O36" s="232"/>
      <c r="P36" s="232"/>
      <c r="Q36" s="232"/>
      <c r="AB36" s="203"/>
      <c r="AC36" s="203"/>
    </row>
    <row r="37" spans="1:29" x14ac:dyDescent="0.25">
      <c r="A37" s="89"/>
      <c r="B37" s="89"/>
      <c r="C37" s="228" t="s">
        <v>178</v>
      </c>
      <c r="D37" s="228"/>
      <c r="E37" s="228"/>
      <c r="I37" s="175"/>
      <c r="J37" s="175"/>
      <c r="K37" s="232"/>
      <c r="L37" s="232"/>
      <c r="M37" s="232"/>
      <c r="N37" s="232"/>
      <c r="O37" s="232"/>
      <c r="P37" s="232"/>
      <c r="Q37" s="232"/>
      <c r="X37" s="203" t="s">
        <v>32</v>
      </c>
      <c r="AB37" s="203" t="s">
        <v>137</v>
      </c>
      <c r="AC37" s="203"/>
    </row>
    <row r="38" spans="1:29" ht="22.5" customHeight="1" x14ac:dyDescent="0.25">
      <c r="A38" s="89"/>
      <c r="B38" s="89"/>
      <c r="C38" s="228"/>
      <c r="D38" s="228"/>
      <c r="E38" s="228"/>
      <c r="F38" s="60" t="s">
        <v>180</v>
      </c>
      <c r="G38" s="135" t="str">
        <f>IF(F38="A","1/16 in/ft",IF(F38="B","1/8 in/ft",IF(F38="C","1/4 in/ft",IF(F38="D","1/32 in/ft",IF(F38="E","1/64 in/ft","&lt;=== Must specify as either A, B, C, D, or E")))))</f>
        <v>1/4 in/ft</v>
      </c>
      <c r="H38" s="151"/>
      <c r="I38" s="175"/>
      <c r="J38" s="175"/>
      <c r="K38" s="232"/>
      <c r="L38" s="232"/>
      <c r="M38" s="232"/>
      <c r="N38" s="232"/>
      <c r="O38" s="232"/>
      <c r="P38" s="232"/>
      <c r="Q38" s="232"/>
      <c r="X38" s="205">
        <f>IF(F35=5,2.456,IF(F35=6,4.199,"Must specify size as either 5 or 6 (inch)"))</f>
        <v>4.1989999999999998</v>
      </c>
      <c r="AB38" s="204">
        <f>IF(F38="A",1/16,IF(F38="B",1/8,IF(F38="C",1/4,IF(F38="D",1/32,IF(F38="E",1/64,"&lt;=== Must specify as either A, B, C, D, or E")))))</f>
        <v>0.25</v>
      </c>
      <c r="AC38" s="203"/>
    </row>
    <row r="39" spans="1:29" x14ac:dyDescent="0.25">
      <c r="A39" s="89"/>
      <c r="B39" s="89"/>
      <c r="C39" s="206"/>
      <c r="D39" s="206"/>
      <c r="E39" s="206"/>
      <c r="F39" s="109"/>
      <c r="G39" s="152"/>
      <c r="I39" s="175"/>
      <c r="J39" s="175"/>
      <c r="K39" s="232"/>
      <c r="L39" s="232"/>
      <c r="M39" s="232"/>
      <c r="N39" s="232"/>
      <c r="O39" s="232"/>
      <c r="P39" s="232"/>
      <c r="Q39" s="232"/>
      <c r="X39" s="111"/>
    </row>
    <row r="40" spans="1:29" x14ac:dyDescent="0.25">
      <c r="A40" s="89"/>
      <c r="B40" s="230" t="s">
        <v>127</v>
      </c>
      <c r="C40" s="231"/>
      <c r="D40" s="231"/>
      <c r="E40" s="231"/>
      <c r="F40" s="110">
        <f>AB38*F59</f>
        <v>12.5</v>
      </c>
      <c r="I40" s="175"/>
      <c r="J40" s="175"/>
      <c r="K40" s="232"/>
      <c r="L40" s="232"/>
      <c r="M40" s="232"/>
      <c r="N40" s="232"/>
      <c r="O40" s="232"/>
      <c r="P40" s="232"/>
      <c r="Q40" s="232"/>
      <c r="X40" s="111" t="s">
        <v>33</v>
      </c>
    </row>
    <row r="41" spans="1:29" x14ac:dyDescent="0.25">
      <c r="A41" s="89"/>
      <c r="B41" s="89"/>
      <c r="C41" s="89"/>
      <c r="D41" s="89"/>
      <c r="E41" s="89"/>
      <c r="I41" s="175"/>
      <c r="J41" s="175"/>
      <c r="K41" s="232"/>
      <c r="L41" s="232"/>
      <c r="M41" s="232"/>
      <c r="N41" s="232"/>
      <c r="O41" s="232"/>
      <c r="P41" s="232"/>
      <c r="Q41" s="232"/>
      <c r="X41" s="111">
        <f>IF(F35=6,2.229,"Must specify size as  6 (inch)")</f>
        <v>2.2290000000000001</v>
      </c>
    </row>
    <row r="42" spans="1:29" x14ac:dyDescent="0.25">
      <c r="A42" s="89"/>
      <c r="B42" s="89"/>
      <c r="C42" s="89"/>
      <c r="D42" s="89"/>
      <c r="E42" s="153" t="s">
        <v>34</v>
      </c>
      <c r="F42" s="112">
        <f>V35*(AB38/12)^0.5</f>
        <v>0.6060734450818096</v>
      </c>
      <c r="K42" s="232"/>
      <c r="L42" s="232"/>
      <c r="M42" s="232"/>
      <c r="N42" s="232"/>
      <c r="O42" s="232"/>
      <c r="P42" s="232"/>
      <c r="Q42" s="232"/>
    </row>
    <row r="43" spans="1:29" x14ac:dyDescent="0.25">
      <c r="K43" s="232"/>
      <c r="L43" s="232"/>
      <c r="M43" s="232"/>
      <c r="N43" s="232"/>
      <c r="O43" s="232"/>
      <c r="P43" s="232"/>
      <c r="Q43" s="232"/>
    </row>
    <row r="44" spans="1:29" x14ac:dyDescent="0.25">
      <c r="C44" s="122" t="s">
        <v>95</v>
      </c>
      <c r="D44" s="265" t="str">
        <f>IF(F42&gt;I24,"Gutter Capacity is greater than peak runoff.  Downspout(s) only required at one location per spacing specified below.","Peak runoff exceeds gutter capacity.  Will require downspouts at multiple locations or select steeper S or select larger gutter size.")</f>
        <v>Peak runoff exceeds gutter capacity.  Will require downspouts at multiple locations or select steeper S or select larger gutter size.</v>
      </c>
      <c r="E44" s="266"/>
      <c r="F44" s="266"/>
      <c r="G44" s="266"/>
      <c r="H44" s="266"/>
      <c r="I44" s="266"/>
      <c r="J44" s="149"/>
      <c r="K44" s="232"/>
      <c r="L44" s="232"/>
      <c r="M44" s="232"/>
      <c r="N44" s="232"/>
      <c r="O44" s="232"/>
      <c r="P44" s="232"/>
      <c r="Q44" s="232"/>
      <c r="X44" s="111"/>
    </row>
    <row r="45" spans="1:29" x14ac:dyDescent="0.25">
      <c r="D45" s="266"/>
      <c r="E45" s="266"/>
      <c r="F45" s="266"/>
      <c r="G45" s="266"/>
      <c r="H45" s="266"/>
      <c r="I45" s="266"/>
      <c r="J45" s="149"/>
      <c r="K45" s="232"/>
      <c r="L45" s="232"/>
      <c r="M45" s="232"/>
      <c r="N45" s="232"/>
      <c r="O45" s="232"/>
      <c r="P45" s="232"/>
      <c r="Q45" s="232"/>
      <c r="X45" s="111"/>
    </row>
    <row r="46" spans="1:29" ht="13.2" customHeight="1" x14ac:dyDescent="0.25">
      <c r="D46" s="149"/>
      <c r="E46" s="149"/>
      <c r="F46" s="149"/>
      <c r="G46" s="149"/>
      <c r="H46" s="149"/>
      <c r="I46" s="149"/>
      <c r="J46" s="149"/>
      <c r="K46" s="149"/>
      <c r="L46" s="149"/>
      <c r="M46" s="149"/>
      <c r="N46" s="149"/>
      <c r="X46" s="111"/>
    </row>
    <row r="47" spans="1:29" x14ac:dyDescent="0.25">
      <c r="C47" s="91" t="s">
        <v>99</v>
      </c>
      <c r="D47" s="87" t="str">
        <f>D3</f>
        <v>Dauphin</v>
      </c>
      <c r="E47" s="89"/>
      <c r="F47" s="88"/>
      <c r="G47" s="89"/>
      <c r="H47" s="89"/>
      <c r="I47" s="89"/>
      <c r="J47" s="149"/>
      <c r="K47" s="149"/>
      <c r="L47" s="149"/>
      <c r="M47" s="149"/>
      <c r="N47" s="149"/>
      <c r="X47" s="111"/>
    </row>
    <row r="48" spans="1:29" x14ac:dyDescent="0.25">
      <c r="C48" s="91" t="s">
        <v>100</v>
      </c>
      <c r="D48" s="88" t="str">
        <f>D4</f>
        <v>Farmer John</v>
      </c>
      <c r="E48" s="89"/>
      <c r="F48" s="88"/>
      <c r="G48" s="89"/>
      <c r="H48" s="89"/>
      <c r="I48" s="89"/>
      <c r="J48" s="149"/>
      <c r="K48" s="149"/>
      <c r="L48" s="149"/>
      <c r="M48" s="149"/>
      <c r="N48" s="149"/>
      <c r="X48" s="111"/>
    </row>
    <row r="49" spans="1:24" x14ac:dyDescent="0.25">
      <c r="C49" s="91"/>
      <c r="D49" s="89"/>
      <c r="E49" s="89"/>
      <c r="F49" s="88"/>
      <c r="G49" s="89"/>
      <c r="H49" s="89"/>
      <c r="I49" s="89"/>
      <c r="J49" s="149"/>
      <c r="K49" s="149"/>
      <c r="L49" s="149"/>
      <c r="M49" s="149"/>
      <c r="N49" s="149"/>
      <c r="X49" s="111"/>
    </row>
    <row r="50" spans="1:24" x14ac:dyDescent="0.25">
      <c r="C50" s="91" t="s">
        <v>101</v>
      </c>
      <c r="D50" s="88" t="str">
        <f>D6</f>
        <v>Ag-Waste, Barn Roof Runoff Control</v>
      </c>
      <c r="E50" s="89"/>
      <c r="F50" s="88"/>
      <c r="G50" s="89"/>
      <c r="H50" s="89"/>
      <c r="I50" s="89"/>
      <c r="J50" s="149"/>
      <c r="K50" s="149"/>
      <c r="L50" s="149"/>
      <c r="M50" s="149"/>
      <c r="N50" s="149"/>
      <c r="X50" s="111"/>
    </row>
    <row r="51" spans="1:24" x14ac:dyDescent="0.25">
      <c r="C51" s="91"/>
      <c r="D51" s="89"/>
      <c r="E51" s="89"/>
      <c r="F51" s="88"/>
      <c r="G51" s="89"/>
      <c r="H51" s="89"/>
      <c r="I51" s="89"/>
      <c r="J51" s="149"/>
      <c r="K51" s="149"/>
      <c r="L51" s="149"/>
      <c r="M51" s="149"/>
      <c r="N51" s="149"/>
      <c r="X51" s="111"/>
    </row>
    <row r="52" spans="1:24" x14ac:dyDescent="0.25">
      <c r="C52" s="91" t="s">
        <v>102</v>
      </c>
      <c r="D52" s="88" t="str">
        <f>D8</f>
        <v>G. Cerrelli</v>
      </c>
      <c r="E52" s="89"/>
      <c r="F52" s="88"/>
      <c r="G52" s="153"/>
      <c r="H52" s="154"/>
      <c r="I52" s="154"/>
      <c r="J52" s="149"/>
      <c r="K52" s="149"/>
      <c r="L52" s="149"/>
      <c r="M52" s="149"/>
      <c r="N52" s="149"/>
      <c r="X52" s="111"/>
    </row>
    <row r="53" spans="1:24" x14ac:dyDescent="0.25">
      <c r="C53" s="91" t="s">
        <v>103</v>
      </c>
      <c r="D53" s="90">
        <f>D9</f>
        <v>38814</v>
      </c>
      <c r="E53" s="89"/>
      <c r="F53" s="88"/>
      <c r="G53" s="153"/>
      <c r="H53" s="154"/>
      <c r="I53" s="154"/>
      <c r="J53" s="149"/>
      <c r="K53" s="149"/>
      <c r="L53" s="149"/>
      <c r="M53" s="149"/>
      <c r="N53" s="149"/>
      <c r="X53" s="111"/>
    </row>
    <row r="54" spans="1:24" x14ac:dyDescent="0.25">
      <c r="B54" s="127"/>
      <c r="C54" s="127"/>
      <c r="D54" s="127"/>
      <c r="E54" s="127"/>
      <c r="F54" s="128"/>
      <c r="G54" s="127"/>
      <c r="H54" s="127"/>
      <c r="I54" s="127"/>
      <c r="J54" s="149"/>
      <c r="K54" s="149"/>
      <c r="L54" s="149"/>
      <c r="M54" s="149"/>
      <c r="N54" s="149"/>
      <c r="X54" s="111"/>
    </row>
    <row r="55" spans="1:24" ht="15.6" x14ac:dyDescent="0.3">
      <c r="A55" s="155"/>
      <c r="B55" s="155"/>
      <c r="C55" s="251" t="s">
        <v>107</v>
      </c>
      <c r="D55" s="251"/>
      <c r="E55" s="251"/>
      <c r="F55" s="251"/>
      <c r="G55" s="156"/>
      <c r="H55" s="156"/>
      <c r="I55" s="156"/>
      <c r="J55" s="149"/>
      <c r="K55" s="149"/>
      <c r="L55" s="149"/>
      <c r="M55" s="149"/>
      <c r="N55" s="149"/>
      <c r="X55" s="111"/>
    </row>
    <row r="56" spans="1:24" x14ac:dyDescent="0.25">
      <c r="X56" s="111"/>
    </row>
    <row r="57" spans="1:24" x14ac:dyDescent="0.25">
      <c r="E57" s="91" t="s">
        <v>108</v>
      </c>
      <c r="F57" s="119">
        <f>ROUNDDOWN(F42/I25,0)</f>
        <v>436</v>
      </c>
    </row>
    <row r="58" spans="1:24" x14ac:dyDescent="0.25">
      <c r="E58" s="91"/>
      <c r="F58" s="157"/>
    </row>
    <row r="59" spans="1:24" x14ac:dyDescent="0.25">
      <c r="E59" s="91" t="s">
        <v>170</v>
      </c>
      <c r="F59" s="62">
        <v>50</v>
      </c>
    </row>
    <row r="60" spans="1:24" x14ac:dyDescent="0.25">
      <c r="E60" s="91"/>
      <c r="F60" s="157"/>
    </row>
    <row r="61" spans="1:24" x14ac:dyDescent="0.25">
      <c r="E61" s="91" t="s">
        <v>96</v>
      </c>
      <c r="F61" s="84">
        <f>IF(F59&gt;F57,"MUST Specify a Spacing No Greater Than Max Allowable",ROUNDUP(D23/F59,0))</f>
        <v>26</v>
      </c>
      <c r="H61" s="157"/>
    </row>
    <row r="62" spans="1:24" x14ac:dyDescent="0.25">
      <c r="E62" s="91"/>
      <c r="F62" s="133"/>
      <c r="H62" s="157"/>
    </row>
    <row r="63" spans="1:24" x14ac:dyDescent="0.25">
      <c r="E63" s="91" t="s">
        <v>97</v>
      </c>
      <c r="F63" s="158">
        <f>IF(F59&gt;F57,"n/a",F59*I25)</f>
        <v>6.9444444444444434E-2</v>
      </c>
      <c r="H63" s="157"/>
    </row>
    <row r="65" spans="2:29" ht="15" x14ac:dyDescent="0.25">
      <c r="B65" s="222" t="s">
        <v>93</v>
      </c>
      <c r="C65" s="223"/>
      <c r="D65" s="223"/>
      <c r="E65" s="223"/>
      <c r="F65" s="223"/>
      <c r="G65" s="122" t="str">
        <f>IF(F35=5,"(for 5-inch gutter)",IF(F35=6,"(for 6-inch gutter)",IF(F35=7,"(for 7-inch gutter)","Must Select 5, 6, or 7-inch gutter")))</f>
        <v>(for 6-inch gutter)</v>
      </c>
      <c r="X65" s="159" t="s">
        <v>90</v>
      </c>
      <c r="Y65" s="111"/>
      <c r="Z65" s="111"/>
      <c r="AA65" s="111"/>
      <c r="AB65" s="111"/>
    </row>
    <row r="66" spans="2:29" x14ac:dyDescent="0.25">
      <c r="B66" s="160" t="s">
        <v>120</v>
      </c>
      <c r="C66" s="229" t="s">
        <v>41</v>
      </c>
      <c r="D66" s="223"/>
      <c r="E66" s="162" t="s">
        <v>42</v>
      </c>
      <c r="F66" s="122"/>
      <c r="G66" s="163" t="s">
        <v>43</v>
      </c>
      <c r="W66" s="161" t="s">
        <v>43</v>
      </c>
      <c r="X66" s="161" t="s">
        <v>41</v>
      </c>
      <c r="Z66" s="162" t="s">
        <v>42</v>
      </c>
      <c r="AA66" s="124"/>
      <c r="AC66" s="161"/>
    </row>
    <row r="67" spans="2:29" x14ac:dyDescent="0.25">
      <c r="B67" s="91" t="str">
        <f>IF(D$30="A","Galv.",IF(D$30="B","Alum.",IF(D$30="C","Compatible w/ Gutter","n/a")))</f>
        <v>Alum.</v>
      </c>
      <c r="C67" s="223" t="str">
        <f t="shared" ref="C67:C72" si="0">IF($F$35=5,X67,IF($F$35=6,X80,IF($F$35=7,X95,"n/a")))</f>
        <v>3" Plain Round</v>
      </c>
      <c r="D67" s="223"/>
      <c r="E67" s="207">
        <f t="shared" ref="E67:E72" si="1">IF($F$35=5,Z67,IF($F$35=6,Z80,IF($F$35=7,Z95,"n/a")))</f>
        <v>0.15</v>
      </c>
      <c r="F67" s="207"/>
      <c r="G67" s="164" t="str">
        <f t="shared" ref="G67:G72" si="2">IF($F$35=5,W67,IF($F$35=6,W80,IF($F$35=7,W95,"n/a")))</f>
        <v>B7</v>
      </c>
      <c r="W67" s="151" t="str">
        <f>IF(D$30="A",Support!M$7,IF(D$30="B",Support!M$25,"n/a"))</f>
        <v>B1</v>
      </c>
      <c r="X67" s="122" t="str">
        <f>IF(D$30="A",Support!M$4,IF(D$30="B",Support!M$22,"n/a"))</f>
        <v>3" Plain Round</v>
      </c>
      <c r="Z67" s="151">
        <f>IF(D$30="A",Support!M$6,IF(D$30="B",Support!M$24,"n/a"))</f>
        <v>0.13</v>
      </c>
      <c r="AA67" s="151"/>
      <c r="AC67" s="151"/>
    </row>
    <row r="68" spans="2:29" x14ac:dyDescent="0.25">
      <c r="B68" s="91" t="str">
        <f t="shared" ref="B68:B76" si="3">IF(D$30="A","Galv.",IF(D$30="B","Alum.",IF(D$30="C","Compatible w/ Gutter","n/a")))</f>
        <v>Alum.</v>
      </c>
      <c r="C68" s="223" t="str">
        <f t="shared" si="0"/>
        <v>4" Plain Round</v>
      </c>
      <c r="D68" s="223"/>
      <c r="E68" s="207">
        <f t="shared" si="1"/>
        <v>0.28000000000000003</v>
      </c>
      <c r="F68" s="207"/>
      <c r="G68" s="164" t="str">
        <f t="shared" si="2"/>
        <v>B8</v>
      </c>
      <c r="W68" s="151" t="str">
        <f>IF(D$30="A",Support!O$7,IF(D$30="B",Support!O$25,"n/a"))</f>
        <v>B2</v>
      </c>
      <c r="X68" s="122" t="str">
        <f>IF(D$30="A",Support!O$4,IF(D$30="B",Support!O$22,"n/a"))</f>
        <v>3" Corrugated Round</v>
      </c>
      <c r="Z68" s="151">
        <f>IF(D$30="A",Support!O$6,IF(D$30="B",Support!O$24,"n/a"))</f>
        <v>0.11</v>
      </c>
      <c r="AA68" s="151"/>
      <c r="AC68" s="151"/>
    </row>
    <row r="69" spans="2:29" x14ac:dyDescent="0.25">
      <c r="B69" s="91" t="str">
        <f t="shared" si="3"/>
        <v>Alum.</v>
      </c>
      <c r="C69" s="223" t="str">
        <f t="shared" si="0"/>
        <v>3" Corrugated Round</v>
      </c>
      <c r="D69" s="223"/>
      <c r="E69" s="207">
        <f t="shared" si="1"/>
        <v>0.13</v>
      </c>
      <c r="F69" s="207"/>
      <c r="G69" s="164" t="str">
        <f t="shared" si="2"/>
        <v>B9</v>
      </c>
      <c r="W69" s="151" t="str">
        <f>IF(D$30="A",Support!Q$7,IF(D$30="B",Support!Q$25,"n/a"))</f>
        <v>B3</v>
      </c>
      <c r="X69" s="122" t="str">
        <f>IF(D$30="A",Support!Q$4,IF(D$30="B",Support!Q$22,"n/a"))</f>
        <v>3" Octagonal</v>
      </c>
      <c r="Z69" s="151">
        <f>IF(D$30="A",Support!Q$6,IF(D$30="B",Support!Q$24,"n/a"))</f>
        <v>0.13</v>
      </c>
      <c r="AA69" s="151"/>
      <c r="AC69" s="151"/>
    </row>
    <row r="70" spans="2:29" x14ac:dyDescent="0.25">
      <c r="B70" s="91" t="str">
        <f t="shared" si="3"/>
        <v>Alum.</v>
      </c>
      <c r="C70" s="223" t="str">
        <f t="shared" si="0"/>
        <v>4" Corrugated Round</v>
      </c>
      <c r="D70" s="223"/>
      <c r="E70" s="207">
        <f t="shared" si="1"/>
        <v>0.24</v>
      </c>
      <c r="F70" s="207"/>
      <c r="G70" s="164" t="str">
        <f t="shared" si="2"/>
        <v>B10</v>
      </c>
      <c r="W70" s="151" t="str">
        <f>IF(D$30="A",Support!S$7,IF(D$30="B",Support!S$25,"n/a"))</f>
        <v>B4</v>
      </c>
      <c r="X70" s="122" t="str">
        <f>IF(D$30="A",Support!S$4,IF(D$30="B",Support!S$22,"n/a"))</f>
        <v>3" Corrugated Square</v>
      </c>
      <c r="Z70" s="151">
        <f>IF(D$30="A",Support!S$6,IF(D$30="B",Support!S$24,"n/a"))</f>
        <v>0.14000000000000001</v>
      </c>
      <c r="AA70" s="151"/>
      <c r="AC70" s="151"/>
    </row>
    <row r="71" spans="2:29" x14ac:dyDescent="0.25">
      <c r="B71" s="91" t="str">
        <f t="shared" si="3"/>
        <v>Alum.</v>
      </c>
      <c r="C71" s="223" t="str">
        <f t="shared" si="0"/>
        <v>3" Octagonal</v>
      </c>
      <c r="D71" s="223"/>
      <c r="E71" s="207">
        <f t="shared" si="1"/>
        <v>0.13</v>
      </c>
      <c r="F71" s="207"/>
      <c r="G71" s="164" t="str">
        <f t="shared" si="2"/>
        <v>B11</v>
      </c>
      <c r="J71" s="151"/>
      <c r="W71" s="151" t="str">
        <f>IF(D$30="A",Support!U$7,IF(D$30="B",Support!U$25,"n/a"))</f>
        <v>B5</v>
      </c>
      <c r="X71" s="122" t="str">
        <f>IF(D$30="A",Support!U$4,IF(D$30="B",Support!U$22,"n/a"))</f>
        <v>2x3" Plain Rectangular</v>
      </c>
      <c r="Z71" s="151">
        <f>IF(D$30="A",Support!U$6,IF(D$30="B",Support!U$24,"n/a"))</f>
        <v>0.11</v>
      </c>
      <c r="AA71" s="151"/>
      <c r="AC71" s="151"/>
    </row>
    <row r="72" spans="2:29" x14ac:dyDescent="0.25">
      <c r="B72" s="91" t="str">
        <f t="shared" si="3"/>
        <v>Alum.</v>
      </c>
      <c r="C72" s="223" t="str">
        <f t="shared" si="0"/>
        <v>4" Octagonal</v>
      </c>
      <c r="D72" s="223"/>
      <c r="E72" s="207">
        <f t="shared" si="1"/>
        <v>0.23</v>
      </c>
      <c r="F72" s="207"/>
      <c r="G72" s="164" t="str">
        <f t="shared" si="2"/>
        <v>B12</v>
      </c>
      <c r="M72" s="91"/>
      <c r="N72" s="151"/>
      <c r="O72" s="151"/>
      <c r="P72" s="151"/>
      <c r="Q72" s="151"/>
      <c r="R72" s="151"/>
      <c r="S72" s="151"/>
      <c r="T72" s="151"/>
      <c r="U72" s="151"/>
      <c r="W72" s="151" t="str">
        <f>IF(D$30="A",Support!V$7,IF(D$30="B",Support!V$25,"n/a"))</f>
        <v>B6</v>
      </c>
      <c r="X72" s="122" t="str">
        <f>IF(D$30="A",Support!V$4,IF(D$30="B",Support!V$22,"n/a"))</f>
        <v>3x4" Plain Rectangular</v>
      </c>
      <c r="Z72" s="151">
        <f>IF(D$30="A",Support!V$6,IF(D$30="B",Support!V$24,"n/a"))</f>
        <v>0.22</v>
      </c>
      <c r="AA72" s="151"/>
      <c r="AC72" s="151"/>
    </row>
    <row r="73" spans="2:29" x14ac:dyDescent="0.25">
      <c r="B73" s="91" t="str">
        <f t="shared" si="3"/>
        <v>Alum.</v>
      </c>
      <c r="C73" s="223" t="str">
        <f>IF($F$35=5,"",IF($F$35=6,X86,IF($F$35=7,X101,"n/a")))</f>
        <v>3" Corrugated Square</v>
      </c>
      <c r="D73" s="223"/>
      <c r="E73" s="207">
        <f>IF($F$35=5,"",IF($F$35=6,Z86,IF($F$35=7,Z101,"n/a")))</f>
        <v>0.17</v>
      </c>
      <c r="F73" s="207"/>
      <c r="G73" s="164" t="str">
        <f>IF($F$35=5,"",IF($F$35=6,W86,IF($F$35=7,W101,"n/a")))</f>
        <v>B13</v>
      </c>
      <c r="N73" s="165"/>
      <c r="O73" s="166"/>
      <c r="P73" s="166"/>
      <c r="Q73" s="166"/>
      <c r="R73" s="166"/>
      <c r="S73" s="166"/>
      <c r="T73" s="166"/>
      <c r="U73" s="166"/>
      <c r="Z73" s="111"/>
    </row>
    <row r="74" spans="2:29" x14ac:dyDescent="0.25">
      <c r="B74" s="91" t="str">
        <f t="shared" si="3"/>
        <v>Alum.</v>
      </c>
      <c r="C74" s="223" t="str">
        <f>IF($F$35=5,"",IF($F$35=6,X87,IF($F$35=7,X102,"n/a")))</f>
        <v>4" Corrugated Square</v>
      </c>
      <c r="D74" s="223"/>
      <c r="E74" s="207">
        <f>IF($F$35=5,"",IF($F$35=6,Z87,IF($F$35=7,Z102,"n/a")))</f>
        <v>0.26</v>
      </c>
      <c r="F74" s="207"/>
      <c r="G74" s="164" t="str">
        <f>IF($F$35=5,"",IF($F$35=6,W87,IF($F$35=7,W102,"n/a")))</f>
        <v>B14</v>
      </c>
      <c r="N74" s="165"/>
      <c r="O74" s="166"/>
      <c r="P74" s="166"/>
      <c r="Q74" s="166"/>
      <c r="R74" s="166"/>
      <c r="S74" s="166"/>
      <c r="T74" s="166"/>
      <c r="U74" s="166"/>
      <c r="Z74" s="111"/>
    </row>
    <row r="75" spans="2:29" x14ac:dyDescent="0.25">
      <c r="B75" s="91" t="str">
        <f t="shared" si="3"/>
        <v>Alum.</v>
      </c>
      <c r="C75" s="223" t="str">
        <f>IF($F$35=5,"",IF($F$35=6,X89,IF($F$35=7,X103,"n/a")))</f>
        <v>2x3" Plain Rectangular</v>
      </c>
      <c r="D75" s="223"/>
      <c r="E75" s="207">
        <f>IF($F$35=5,"",IF($F$35=6,Z89,IF($F$35=7,Z103,"n/a")))</f>
        <v>0.13</v>
      </c>
      <c r="F75" s="207"/>
      <c r="G75" s="164" t="str">
        <f>IF($F$35=5,"",IF($F$35=6,W89,IF($F$35=7,W103,"n/a")))</f>
        <v>B15</v>
      </c>
      <c r="N75" s="165"/>
      <c r="O75" s="166"/>
      <c r="P75" s="166"/>
      <c r="Q75" s="166"/>
      <c r="R75" s="166"/>
      <c r="S75" s="166"/>
      <c r="T75" s="166"/>
      <c r="U75" s="166"/>
      <c r="Z75" s="111"/>
    </row>
    <row r="76" spans="2:29" x14ac:dyDescent="0.25">
      <c r="B76" s="91" t="str">
        <f t="shared" si="3"/>
        <v>Alum.</v>
      </c>
      <c r="C76" s="223" t="str">
        <f>IF($F$35=5,"",IF($F$35=6,X90,IF($F$35=7,X104,"n/a")))</f>
        <v>3x4" Plain Rectangular</v>
      </c>
      <c r="D76" s="223"/>
      <c r="E76" s="207">
        <f>IF($F$35=5,"",IF($F$35=6,Z90,IF($F$35=7,Z104,"n/a")))</f>
        <v>0.26</v>
      </c>
      <c r="F76" s="207"/>
      <c r="G76" s="164" t="str">
        <f>IF($F$35=5,"",IF($F$35=6,W90,IF($F$35=7,W104,"n/a")))</f>
        <v>B16</v>
      </c>
      <c r="N76" s="165"/>
      <c r="O76" s="166"/>
      <c r="P76" s="166"/>
      <c r="Q76" s="166"/>
      <c r="R76" s="166"/>
      <c r="S76" s="166"/>
      <c r="T76" s="166"/>
      <c r="U76" s="166"/>
      <c r="Z76" s="111"/>
    </row>
    <row r="77" spans="2:29" x14ac:dyDescent="0.25">
      <c r="C77" s="124"/>
      <c r="D77" s="124"/>
      <c r="N77" s="165"/>
      <c r="O77" s="166"/>
      <c r="P77" s="166"/>
      <c r="Q77" s="166"/>
      <c r="R77" s="166"/>
      <c r="S77" s="166"/>
      <c r="T77" s="166"/>
      <c r="U77" s="166"/>
      <c r="Z77" s="111"/>
    </row>
    <row r="78" spans="2:29" s="151" customFormat="1" ht="15" x14ac:dyDescent="0.25">
      <c r="X78" s="167" t="s">
        <v>91</v>
      </c>
    </row>
    <row r="79" spans="2:29" x14ac:dyDescent="0.25">
      <c r="W79" s="161" t="s">
        <v>43</v>
      </c>
      <c r="X79" s="161" t="s">
        <v>41</v>
      </c>
      <c r="Y79" s="124"/>
      <c r="Z79" s="162" t="s">
        <v>42</v>
      </c>
      <c r="AA79" s="124"/>
      <c r="AB79" s="124"/>
    </row>
    <row r="80" spans="2:29" ht="13.8" thickBot="1" x14ac:dyDescent="0.3">
      <c r="C80" s="122" t="s">
        <v>119</v>
      </c>
      <c r="W80" s="151" t="str">
        <f>IF(D$30="A",Support!M$13,IF(D$30="B",Support!M$31,IF(D$30="C",Support!M$37,"n/a")))</f>
        <v>B7</v>
      </c>
      <c r="X80" s="124" t="str">
        <f>IF(D$30="A",Support!M$10,IF(D$30="B",Support!M$28,IF(D$30="C",Support!M$34,"n/a")))</f>
        <v>3" Plain Round</v>
      </c>
      <c r="Y80" s="124"/>
      <c r="Z80" s="151">
        <f>IF(D$30="A",Support!M$12,IF(D$30="B",Support!M$30,IF(D$30="C",Support!M$36,"n/a")))</f>
        <v>0.15</v>
      </c>
      <c r="AA80" s="151"/>
      <c r="AB80" s="124"/>
    </row>
    <row r="81" spans="1:29" ht="13.8" thickBot="1" x14ac:dyDescent="0.3">
      <c r="C81" s="61" t="s">
        <v>68</v>
      </c>
      <c r="W81" s="151" t="str">
        <f>IF(D$30="A",Support!N$13,IF(D$30="B",Support!N$31,IF(D$30="C",Support!N$37,"n/a")))</f>
        <v>B8</v>
      </c>
      <c r="X81" s="124" t="str">
        <f>IF(D$30="A",Support!N$10,IF(D$30="B",Support!N$28,IF(D$30="C",Support!N$34,"n/a")))</f>
        <v>4" Plain Round</v>
      </c>
      <c r="Y81" s="124"/>
      <c r="Z81" s="151">
        <f>IF(D$30="A",Support!N$12,IF(D$30="B",Support!N$30,IF(D$30="C",Support!N$36,"n/a")))</f>
        <v>0.28000000000000003</v>
      </c>
      <c r="AA81" s="151"/>
      <c r="AB81" s="124"/>
    </row>
    <row r="82" spans="1:29" x14ac:dyDescent="0.25">
      <c r="W82" s="151" t="str">
        <f>IF(D$30="A",Support!O$13,IF(D$30="B",Support!O$31,IF(D$30="C",Support!O$37,"n/a")))</f>
        <v>B9</v>
      </c>
      <c r="X82" s="124" t="str">
        <f>IF(D$30="A",Support!O$10,IF(D$30="B",Support!O$28,IF(D$30="C",Support!O$34,"n/a")))</f>
        <v>3" Corrugated Round</v>
      </c>
      <c r="Y82" s="124"/>
      <c r="Z82" s="151">
        <f>IF(D$30="A",Support!O$12,IF(D$30="B",Support!O$30,IF(D$30="C",Support!O$36,"n/a")))</f>
        <v>0.13</v>
      </c>
      <c r="AA82" s="151"/>
      <c r="AB82" s="124"/>
    </row>
    <row r="83" spans="1:29" x14ac:dyDescent="0.25">
      <c r="C83" s="229" t="s">
        <v>94</v>
      </c>
      <c r="D83" s="223"/>
      <c r="G83" s="162" t="s">
        <v>42</v>
      </c>
      <c r="W83" s="151" t="str">
        <f>IF(D$30="A",Support!P$13,IF(D$30="B",Support!P$31,IF(D$30="C",Support!P$37,"n/a")))</f>
        <v>B10</v>
      </c>
      <c r="X83" s="124" t="str">
        <f>IF(D$30="A",Support!P$10,IF(D$30="B",Support!P$28,IF(D$30="C",Support!P$34,"n/a")))</f>
        <v>4" Corrugated Round</v>
      </c>
      <c r="Y83" s="124"/>
      <c r="Z83" s="151">
        <f>IF(D$30="A",Support!P$12,IF(D$30="B",Support!P$30,IF(D$30="C",Support!P$36,"n/a")))</f>
        <v>0.24</v>
      </c>
      <c r="AA83" s="151"/>
      <c r="AB83" s="124"/>
    </row>
    <row r="84" spans="1:29" x14ac:dyDescent="0.25">
      <c r="A84" s="146"/>
      <c r="B84" s="168" t="str">
        <f>B67</f>
        <v>Alum.</v>
      </c>
      <c r="C84" s="145" t="str">
        <f>IF(OR(C81=G67,C81=G68,C81=G69,C81=G70,C81=G71,C81=G72,C81=G73,C81=G74,C81=G75,C81=G76),VLOOKUP(C81,W67:Z104,2,FALSE),"Must Specify ID No. Only From Above List")</f>
        <v>Must Specify ID No. Only From Above List</v>
      </c>
      <c r="D84" s="169"/>
      <c r="E84" s="146"/>
      <c r="G84" s="145" t="str">
        <f>IF(OR(C81=G67,C81=G68,C81=G69,C81=G70,C81=G71,C81=G72,C81=G73,C81=G74,C81=G75,C81=G76),VLOOKUP(C81,W67:Z104,4,FALSE),"n/a")</f>
        <v>n/a</v>
      </c>
      <c r="H84" s="146"/>
      <c r="W84" s="151" t="str">
        <f>IF(D$30="A",Support!Q$13,IF(D$30="B",Support!Q$31,IF(D$30="C",Support!Q$37,"n/a")))</f>
        <v>B11</v>
      </c>
      <c r="X84" s="124" t="str">
        <f>IF(D$30="A",Support!Q$10,IF(D$30="B",Support!Q$28,IF(D$30="C",Support!Q$34,"n/a")))</f>
        <v>3" Octagonal</v>
      </c>
      <c r="Y84" s="124"/>
      <c r="Z84" s="151">
        <f>IF(D$30="A",Support!Q$12,IF(D$30="B",Support!Q$30,IF(D$30="C",Support!Q$36,"n/a")))</f>
        <v>0.13</v>
      </c>
      <c r="AA84" s="151"/>
      <c r="AB84" s="124"/>
    </row>
    <row r="85" spans="1:29" x14ac:dyDescent="0.25">
      <c r="W85" s="151" t="str">
        <f>IF(D$30="A",Support!R$13,IF(D$30="B",Support!R$31,IF(D$30="C",Support!R$37,"n/a")))</f>
        <v>B12</v>
      </c>
      <c r="X85" s="124" t="str">
        <f>IF(D$30="A",Support!R$10,IF(D$30="B",Support!R$28,IF(D$30="C",Support!R$34,"n/a")))</f>
        <v>4" Octagonal</v>
      </c>
      <c r="Y85" s="124"/>
      <c r="Z85" s="151">
        <f>IF(D$30="A",Support!R$12,IF(D$30="B",Support!R$30,IF(D$30="C",Support!R$36,"n/a")))</f>
        <v>0.23</v>
      </c>
      <c r="AA85" s="151"/>
      <c r="AB85" s="124"/>
    </row>
    <row r="86" spans="1:29" x14ac:dyDescent="0.25">
      <c r="C86" s="151" t="s">
        <v>98</v>
      </c>
      <c r="E86" s="122" t="s">
        <v>126</v>
      </c>
      <c r="W86" s="151" t="str">
        <f>IF(D$30="A",Support!S$13,IF(D$30="B",Support!S$31,IF(D$30="C",Support!S$37,"n/a")))</f>
        <v>B13</v>
      </c>
      <c r="X86" s="124" t="str">
        <f>IF(D$30="A",Support!S$10,IF(D$30="B",Support!S$28,IF(D$30="C",Support!S$34,"n/a")))</f>
        <v>3" Corrugated Square</v>
      </c>
      <c r="Y86" s="124"/>
      <c r="Z86" s="151">
        <f>IF(D$30="A",Support!S$12,IF(D$30="B",Support!S$30,IF(D$30="C",Support!S$36,"n/a")))</f>
        <v>0.17</v>
      </c>
      <c r="AA86" s="151"/>
      <c r="AB86" s="124"/>
    </row>
    <row r="87" spans="1:29" x14ac:dyDescent="0.25">
      <c r="C87" s="170" t="e">
        <f>ROUNDUP(F63/G84,0)</f>
        <v>#VALUE!</v>
      </c>
      <c r="F87" s="170" t="e">
        <f>IF(C87&gt;1,ROUNDUP(((D23-(F61-1)*F59)*I25)/G84,0),1)</f>
        <v>#VALUE!</v>
      </c>
      <c r="W87" s="151" t="str">
        <f>IF(D$30="A",Support!T$13,IF(D$30="B",Support!T$31,IF(D$30="C",Support!T$37,"n/a")))</f>
        <v>B14</v>
      </c>
      <c r="X87" s="124" t="str">
        <f>IF(D$30="A",Support!T$10,IF(D$30="B",Support!T$28,IF(D$30="C",Support!T$34,"n/a")))</f>
        <v>4" Corrugated Square</v>
      </c>
      <c r="Y87" s="124"/>
      <c r="Z87" s="151">
        <f>IF(D$30="A",Support!T$12,IF(D$30="B",Support!T$30,IF(D$30="C",Support!T$36,"n/a")))</f>
        <v>0.26</v>
      </c>
      <c r="AA87" s="151"/>
      <c r="AB87" s="124"/>
    </row>
    <row r="88" spans="1:29" x14ac:dyDescent="0.25">
      <c r="E88" s="171"/>
      <c r="W88" s="151"/>
      <c r="X88" s="124"/>
      <c r="Y88" s="124"/>
      <c r="Z88" s="151"/>
      <c r="AA88" s="151"/>
      <c r="AB88" s="124"/>
    </row>
    <row r="89" spans="1:29" x14ac:dyDescent="0.25">
      <c r="A89" s="142"/>
      <c r="B89" s="172" t="s">
        <v>122</v>
      </c>
      <c r="C89" s="142"/>
      <c r="D89" s="142"/>
      <c r="E89" s="142"/>
      <c r="F89" s="144"/>
      <c r="G89" s="142"/>
      <c r="H89" s="142"/>
      <c r="I89" s="142"/>
      <c r="W89" s="151" t="str">
        <f>IF(D$30="A",Support!U$13,IF(D$30="B",Support!U$31,IF(D$30="C",Support!U$37,"n/a")))</f>
        <v>B15</v>
      </c>
      <c r="X89" s="124" t="str">
        <f>IF(D$30="A",Support!U$10,IF(D$30="B",Support!U$28,IF(D$30="C",Support!U$34,"n/a")))</f>
        <v>2x3" Plain Rectangular</v>
      </c>
      <c r="Y89" s="124"/>
      <c r="Z89" s="151">
        <f>IF(D$30="A",Support!U$12,IF(D$30="B",Support!U$30,IF(D$30="C",Support!U$36,"n/a")))</f>
        <v>0.13</v>
      </c>
      <c r="AA89" s="151"/>
      <c r="AB89" s="124"/>
    </row>
    <row r="90" spans="1:29" x14ac:dyDescent="0.25">
      <c r="A90" s="91" t="s">
        <v>123</v>
      </c>
      <c r="B90" s="146" t="str">
        <f>D23&amp;" ft of "&amp;F35&amp;"-in "&amp;E30</f>
        <v>1300 ft of 6-in Box Ogee (Alum.)</v>
      </c>
      <c r="C90" s="169"/>
      <c r="D90" s="169"/>
      <c r="E90" s="151"/>
      <c r="F90" s="91"/>
      <c r="G90" s="173"/>
      <c r="W90" s="151" t="str">
        <f>IF(D$30="A",Support!V$13,IF(D$30="B",Support!V$31,IF(D$30="C",Support!V$37,"n/a")))</f>
        <v>B16</v>
      </c>
      <c r="X90" s="124" t="str">
        <f>IF(D$30="A",Support!V$10,IF(D$30="B",Support!V$28,IF(D$30="C",Support!V$34,"n/a")))</f>
        <v>3x4" Plain Rectangular</v>
      </c>
      <c r="Y90" s="124"/>
      <c r="Z90" s="151">
        <f>IF(D$30="A",Support!V$12,IF(D$30="B",Support!V$30,IF(D$30="C",Support!V$36,"n/a")))</f>
        <v>0.26</v>
      </c>
      <c r="AA90" s="151"/>
      <c r="AB90" s="124"/>
    </row>
    <row r="91" spans="1:29" x14ac:dyDescent="0.25">
      <c r="A91" s="122" t="s">
        <v>124</v>
      </c>
      <c r="B91" s="146" t="e">
        <f>((F61-1)*C87+F87)&amp;" @ "&amp;C84&amp;"("&amp;B84&amp;")"</f>
        <v>#VALUE!</v>
      </c>
      <c r="C91" s="169"/>
      <c r="D91" s="146"/>
      <c r="E91" s="111"/>
      <c r="W91" s="151"/>
      <c r="X91" s="124"/>
      <c r="Y91" s="124"/>
      <c r="Z91" s="151"/>
      <c r="AA91" s="151"/>
      <c r="AB91" s="124"/>
      <c r="AC91" s="151"/>
    </row>
    <row r="92" spans="1:29" x14ac:dyDescent="0.25">
      <c r="W92" s="124"/>
      <c r="X92" s="124"/>
      <c r="Y92" s="124"/>
      <c r="Z92" s="111"/>
      <c r="AA92" s="124"/>
      <c r="AB92" s="124"/>
    </row>
    <row r="93" spans="1:29" ht="15" x14ac:dyDescent="0.25">
      <c r="W93" s="124"/>
      <c r="X93" s="159" t="s">
        <v>92</v>
      </c>
      <c r="Y93" s="124"/>
      <c r="Z93" s="124"/>
      <c r="AA93" s="124"/>
      <c r="AB93" s="124"/>
    </row>
    <row r="94" spans="1:29" x14ac:dyDescent="0.25">
      <c r="W94" s="161" t="s">
        <v>43</v>
      </c>
      <c r="X94" s="161" t="s">
        <v>41</v>
      </c>
      <c r="Y94" s="124"/>
      <c r="Z94" s="162" t="s">
        <v>42</v>
      </c>
      <c r="AA94" s="124"/>
      <c r="AB94" s="124"/>
    </row>
    <row r="95" spans="1:29" x14ac:dyDescent="0.25">
      <c r="W95" s="151" t="str">
        <f>IF(D$30="A",Support!M$19,"n/a")</f>
        <v>n/a</v>
      </c>
      <c r="X95" s="124" t="str">
        <f>IF(D$30="A",Support!M$16,"n/a")</f>
        <v>n/a</v>
      </c>
      <c r="Y95" s="124"/>
      <c r="Z95" s="151" t="str">
        <f>IF(D$30="A",Support!M$18,"n/a")</f>
        <v>n/a</v>
      </c>
      <c r="AA95" s="151"/>
      <c r="AB95" s="124"/>
    </row>
    <row r="96" spans="1:29" x14ac:dyDescent="0.25">
      <c r="W96" s="151" t="str">
        <f>IF(D$30="A",Support!N$19,"n/a")</f>
        <v>n/a</v>
      </c>
      <c r="X96" s="124" t="str">
        <f>IF(D$30="A",Support!N$16,"n/a")</f>
        <v>n/a</v>
      </c>
      <c r="Y96" s="124"/>
      <c r="Z96" s="151" t="str">
        <f>IF(D$30="A",Support!N$18,"n/a")</f>
        <v>n/a</v>
      </c>
      <c r="AA96" s="151"/>
      <c r="AB96" s="124"/>
    </row>
    <row r="97" spans="23:28" x14ac:dyDescent="0.25">
      <c r="W97" s="151" t="str">
        <f>IF(D$30="A",Support!O$19,"n/a")</f>
        <v>n/a</v>
      </c>
      <c r="X97" s="124" t="str">
        <f>IF(D$30="A",Support!O$16,"n/a")</f>
        <v>n/a</v>
      </c>
      <c r="Y97" s="124"/>
      <c r="Z97" s="151" t="str">
        <f>IF(D$30="A",Support!O$18,"n/a")</f>
        <v>n/a</v>
      </c>
      <c r="AA97" s="151"/>
      <c r="AB97" s="124"/>
    </row>
    <row r="98" spans="23:28" x14ac:dyDescent="0.25">
      <c r="W98" s="151" t="str">
        <f>IF(D$30="A",Support!P$19,"n/a")</f>
        <v>n/a</v>
      </c>
      <c r="X98" s="124" t="str">
        <f>IF(D$30="A",Support!P$16,"n/a")</f>
        <v>n/a</v>
      </c>
      <c r="Y98" s="124"/>
      <c r="Z98" s="151" t="str">
        <f>IF(D$30="A",Support!P$18,"n/a")</f>
        <v>n/a</v>
      </c>
      <c r="AA98" s="151"/>
      <c r="AB98" s="124"/>
    </row>
    <row r="99" spans="23:28" x14ac:dyDescent="0.25">
      <c r="W99" s="151" t="str">
        <f>IF(D$30="A",Support!Q$19,"n/a")</f>
        <v>n/a</v>
      </c>
      <c r="X99" s="124" t="str">
        <f>IF(D$30="A",Support!Q$16,"n/a")</f>
        <v>n/a</v>
      </c>
      <c r="Y99" s="124"/>
      <c r="Z99" s="151" t="str">
        <f>IF(D$30="A",Support!Q$18,"n/a")</f>
        <v>n/a</v>
      </c>
      <c r="AA99" s="151"/>
      <c r="AB99" s="124"/>
    </row>
    <row r="100" spans="23:28" x14ac:dyDescent="0.25">
      <c r="W100" s="151" t="str">
        <f>IF(D$30="A",Support!R$19,"n/a")</f>
        <v>n/a</v>
      </c>
      <c r="X100" s="124" t="str">
        <f>IF(D$30="A",Support!R$16,"n/a")</f>
        <v>n/a</v>
      </c>
      <c r="Y100" s="124"/>
      <c r="Z100" s="151" t="str">
        <f>IF(D$30="A",Support!R$18,"n/a")</f>
        <v>n/a</v>
      </c>
      <c r="AA100" s="151"/>
      <c r="AB100" s="124"/>
    </row>
    <row r="101" spans="23:28" x14ac:dyDescent="0.25">
      <c r="W101" s="151" t="str">
        <f>IF(D$30="A",Support!S$19,"n/a")</f>
        <v>n/a</v>
      </c>
      <c r="X101" s="124" t="str">
        <f>IF(D$30="A",Support!S$16,"n/a")</f>
        <v>n/a</v>
      </c>
      <c r="Y101" s="124"/>
      <c r="Z101" s="151" t="str">
        <f>IF(D$30="A",Support!S$18,"n/a")</f>
        <v>n/a</v>
      </c>
      <c r="AA101" s="151"/>
      <c r="AB101" s="124"/>
    </row>
    <row r="102" spans="23:28" x14ac:dyDescent="0.25">
      <c r="W102" s="151" t="str">
        <f>IF(D$30="A",Support!T$19,"n/a")</f>
        <v>n/a</v>
      </c>
      <c r="X102" s="124" t="str">
        <f>IF(D$30="A",Support!T$16,"n/a")</f>
        <v>n/a</v>
      </c>
      <c r="Y102" s="124"/>
      <c r="Z102" s="151" t="str">
        <f>IF(D$30="A",Support!T$18,"n/a")</f>
        <v>n/a</v>
      </c>
      <c r="AA102" s="151"/>
      <c r="AB102" s="124"/>
    </row>
    <row r="103" spans="23:28" x14ac:dyDescent="0.25">
      <c r="W103" s="151" t="str">
        <f>IF(D$30="A",Support!U$19,"n/a")</f>
        <v>n/a</v>
      </c>
      <c r="X103" s="124" t="str">
        <f>IF(D$30="A",Support!U$16,"n/a")</f>
        <v>n/a</v>
      </c>
      <c r="Y103" s="124"/>
      <c r="Z103" s="151" t="str">
        <f>IF(D$30="A",Support!U$18,"n/a")</f>
        <v>n/a</v>
      </c>
      <c r="AA103" s="151"/>
      <c r="AB103" s="124"/>
    </row>
    <row r="104" spans="23:28" x14ac:dyDescent="0.25">
      <c r="W104" s="151" t="str">
        <f>IF(D$30="A",Support!V$19,"n/a")</f>
        <v>n/a</v>
      </c>
      <c r="X104" s="124" t="str">
        <f>IF(D$30="A",Support!V$16,"n/a")</f>
        <v>n/a</v>
      </c>
      <c r="Y104" s="124"/>
      <c r="Z104" s="151" t="str">
        <f>IF(D$30="A",Support!V$18,"n/a")</f>
        <v>n/a</v>
      </c>
      <c r="AA104" s="151"/>
      <c r="AB104" s="124"/>
    </row>
  </sheetData>
  <mergeCells count="27">
    <mergeCell ref="C83:D83"/>
    <mergeCell ref="C14:F14"/>
    <mergeCell ref="C28:F28"/>
    <mergeCell ref="C55:F55"/>
    <mergeCell ref="B22:E22"/>
    <mergeCell ref="C74:D74"/>
    <mergeCell ref="C75:D75"/>
    <mergeCell ref="C76:D76"/>
    <mergeCell ref="K31:Q45"/>
    <mergeCell ref="C71:D71"/>
    <mergeCell ref="C72:D72"/>
    <mergeCell ref="C73:D73"/>
    <mergeCell ref="C66:D66"/>
    <mergeCell ref="C67:D67"/>
    <mergeCell ref="B40:E40"/>
    <mergeCell ref="C68:D68"/>
    <mergeCell ref="C69:D69"/>
    <mergeCell ref="C70:D70"/>
    <mergeCell ref="B65:F65"/>
    <mergeCell ref="D44:I45"/>
    <mergeCell ref="B20:I20"/>
    <mergeCell ref="C34:E35"/>
    <mergeCell ref="C37:E38"/>
    <mergeCell ref="D3:E3"/>
    <mergeCell ref="D4:E4"/>
    <mergeCell ref="D6:I6"/>
    <mergeCell ref="D8:E8"/>
  </mergeCells>
  <phoneticPr fontId="6" type="noConversion"/>
  <pageMargins left="0.75" right="0.75" top="1.41" bottom="1" header="0.5" footer="0.5"/>
  <pageSetup scale="94" fitToHeight="2" orientation="portrait" r:id="rId1"/>
  <headerFooter alignWithMargins="0">
    <oddHeader>&amp;CPA- Roof Runoff Management
AWM System Component Design
Chapter 10</oddHeader>
    <oddFooter>&amp;Cpage&amp;P of &amp;N</oddFooter>
  </headerFooter>
  <rowBreaks count="1" manualBreakCount="1">
    <brk id="46" max="8" man="1"/>
  </rowBreaks>
  <ignoredErrors>
    <ignoredError sqref="C76 E76 G84 C84" emptyCellReference="1"/>
    <ignoredError sqref="F40" unlockedFormula="1"/>
  </ignoredErrors>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04"/>
  <sheetViews>
    <sheetView topLeftCell="B41" zoomScaleNormal="100" workbookViewId="0">
      <selection activeCell="C57" sqref="C57:F57"/>
    </sheetView>
  </sheetViews>
  <sheetFormatPr defaultRowHeight="13.2" x14ac:dyDescent="0.25"/>
  <cols>
    <col min="1" max="1" width="11.33203125" customWidth="1"/>
    <col min="3" max="3" width="9.5546875" customWidth="1"/>
    <col min="4" max="4" width="18.6640625" customWidth="1"/>
    <col min="5" max="5" width="9.33203125" customWidth="1"/>
    <col min="6" max="6" width="10.44140625" style="4" customWidth="1"/>
    <col min="9" max="9" width="11" customWidth="1"/>
    <col min="17" max="17" width="10.33203125" customWidth="1"/>
    <col min="18" max="18" width="20.109375" bestFit="1" customWidth="1"/>
  </cols>
  <sheetData>
    <row r="1" spans="1:9" x14ac:dyDescent="0.25">
      <c r="B1" s="121" t="s">
        <v>136</v>
      </c>
    </row>
    <row r="3" spans="1:9" x14ac:dyDescent="0.25">
      <c r="C3" s="1" t="s">
        <v>99</v>
      </c>
      <c r="D3" s="220" t="s">
        <v>109</v>
      </c>
      <c r="E3" s="220"/>
    </row>
    <row r="4" spans="1:9" x14ac:dyDescent="0.25">
      <c r="C4" s="1" t="s">
        <v>100</v>
      </c>
      <c r="D4" s="220" t="s">
        <v>110</v>
      </c>
      <c r="E4" s="220"/>
    </row>
    <row r="5" spans="1:9" x14ac:dyDescent="0.25">
      <c r="C5" s="1"/>
    </row>
    <row r="6" spans="1:9" x14ac:dyDescent="0.25">
      <c r="C6" s="1" t="s">
        <v>101</v>
      </c>
      <c r="D6" s="220" t="s">
        <v>111</v>
      </c>
      <c r="E6" s="232"/>
      <c r="F6" s="232"/>
      <c r="G6" s="232"/>
      <c r="H6" s="232"/>
      <c r="I6" s="232"/>
    </row>
    <row r="7" spans="1:9" x14ac:dyDescent="0.25">
      <c r="C7" s="1"/>
    </row>
    <row r="8" spans="1:9" x14ac:dyDescent="0.25">
      <c r="C8" s="1" t="s">
        <v>102</v>
      </c>
      <c r="D8" s="220" t="s">
        <v>112</v>
      </c>
      <c r="E8" s="220"/>
      <c r="G8" s="1" t="s">
        <v>104</v>
      </c>
      <c r="H8" s="99"/>
      <c r="I8" s="99"/>
    </row>
    <row r="9" spans="1:9" x14ac:dyDescent="0.25">
      <c r="C9" s="1" t="s">
        <v>103</v>
      </c>
      <c r="D9" s="72">
        <v>38814</v>
      </c>
      <c r="G9" s="1" t="s">
        <v>103</v>
      </c>
      <c r="H9" s="100"/>
      <c r="I9" s="10"/>
    </row>
    <row r="10" spans="1:9" x14ac:dyDescent="0.25">
      <c r="C10" s="1"/>
      <c r="D10" s="98"/>
      <c r="G10" s="1"/>
      <c r="H10" s="10"/>
      <c r="I10" s="10"/>
    </row>
    <row r="11" spans="1:9" x14ac:dyDescent="0.25">
      <c r="C11" s="1" t="s">
        <v>125</v>
      </c>
      <c r="D11" s="208"/>
      <c r="E11" s="209"/>
      <c r="F11" s="209"/>
      <c r="G11" s="209"/>
      <c r="H11" s="209"/>
      <c r="I11" s="209"/>
    </row>
    <row r="12" spans="1:9" x14ac:dyDescent="0.25">
      <c r="C12" s="1"/>
      <c r="D12" s="209"/>
      <c r="E12" s="209"/>
      <c r="F12" s="209"/>
      <c r="G12" s="209"/>
      <c r="H12" s="209"/>
      <c r="I12" s="209"/>
    </row>
    <row r="13" spans="1:9" x14ac:dyDescent="0.25">
      <c r="A13" s="10"/>
      <c r="B13" s="10"/>
      <c r="C13" s="10"/>
      <c r="D13" s="10"/>
      <c r="E13" s="10"/>
      <c r="F13" s="45"/>
      <c r="G13" s="10"/>
      <c r="H13" s="10"/>
      <c r="I13" s="10"/>
    </row>
    <row r="14" spans="1:9" x14ac:dyDescent="0.25">
      <c r="A14" s="10"/>
      <c r="B14" s="10"/>
      <c r="C14" s="240" t="s">
        <v>105</v>
      </c>
      <c r="D14" s="241"/>
      <c r="E14" s="241"/>
      <c r="F14" s="241"/>
      <c r="G14" s="10"/>
      <c r="H14" s="10"/>
      <c r="I14" s="10"/>
    </row>
    <row r="15" spans="1:9" x14ac:dyDescent="0.25">
      <c r="A15" s="10"/>
      <c r="B15" s="10"/>
      <c r="C15" s="77"/>
      <c r="D15" s="80"/>
      <c r="E15" s="78"/>
      <c r="F15" s="78"/>
      <c r="G15" s="10"/>
      <c r="H15" s="10"/>
      <c r="I15" s="10"/>
    </row>
    <row r="16" spans="1:9" x14ac:dyDescent="0.25">
      <c r="A16" s="10"/>
      <c r="B16" s="10"/>
      <c r="C16" s="79" t="s">
        <v>113</v>
      </c>
      <c r="D16" s="82">
        <v>25</v>
      </c>
      <c r="E16" s="80" t="s">
        <v>114</v>
      </c>
      <c r="F16" s="78"/>
      <c r="G16" s="10"/>
      <c r="H16" s="10"/>
      <c r="I16" s="10"/>
    </row>
    <row r="17" spans="1:9" x14ac:dyDescent="0.25">
      <c r="E17" s="1"/>
      <c r="F17" s="3"/>
    </row>
    <row r="18" spans="1:9" x14ac:dyDescent="0.25">
      <c r="C18" s="1" t="s">
        <v>115</v>
      </c>
      <c r="D18" s="84">
        <f>IF(D16=10,0.5,IF(D16=25,0.6,"n/a"))</f>
        <v>0.6</v>
      </c>
      <c r="E18" t="s">
        <v>116</v>
      </c>
      <c r="F18"/>
    </row>
    <row r="19" spans="1:9" x14ac:dyDescent="0.25">
      <c r="C19" s="1"/>
      <c r="D19" s="81"/>
      <c r="F19"/>
    </row>
    <row r="20" spans="1:9" ht="18" customHeight="1" x14ac:dyDescent="0.3">
      <c r="B20" s="236" t="str">
        <f>IF(D18="n/a","MUST SPECIFY STORM FREQUENCY AS EITHER 10 OR 25-YR","")</f>
        <v/>
      </c>
      <c r="C20" s="237"/>
      <c r="D20" s="237"/>
      <c r="E20" s="237"/>
      <c r="F20" s="237"/>
      <c r="G20" s="237"/>
      <c r="H20" s="237"/>
      <c r="I20" s="232"/>
    </row>
    <row r="21" spans="1:9" x14ac:dyDescent="0.25">
      <c r="C21" s="1"/>
      <c r="D21" s="83"/>
      <c r="F21"/>
    </row>
    <row r="22" spans="1:9" x14ac:dyDescent="0.25">
      <c r="B22" s="242" t="s">
        <v>128</v>
      </c>
      <c r="C22" s="242"/>
      <c r="D22" s="242"/>
      <c r="E22" s="242"/>
      <c r="F22"/>
    </row>
    <row r="23" spans="1:9" x14ac:dyDescent="0.25">
      <c r="C23" s="1" t="s">
        <v>0</v>
      </c>
      <c r="D23" s="59">
        <v>110</v>
      </c>
      <c r="F23" s="6"/>
      <c r="I23" s="5"/>
    </row>
    <row r="24" spans="1:9" x14ac:dyDescent="0.25">
      <c r="C24" s="1" t="s">
        <v>129</v>
      </c>
      <c r="D24" s="59">
        <v>40</v>
      </c>
      <c r="F24" s="70"/>
      <c r="G24" s="70"/>
      <c r="H24" s="71" t="s">
        <v>117</v>
      </c>
      <c r="I24" s="95">
        <f>D18/12*D$25/300</f>
        <v>0.73333333333333328</v>
      </c>
    </row>
    <row r="25" spans="1:9" ht="15.6" x14ac:dyDescent="0.25">
      <c r="C25" s="1" t="s">
        <v>1</v>
      </c>
      <c r="D25" s="4">
        <f>D23*D24</f>
        <v>4400</v>
      </c>
      <c r="F25"/>
      <c r="H25" s="1" t="s">
        <v>118</v>
      </c>
      <c r="I25" s="4">
        <f>I24/D23</f>
        <v>6.6666666666666662E-3</v>
      </c>
    </row>
    <row r="26" spans="1:9" x14ac:dyDescent="0.25">
      <c r="C26" s="1"/>
      <c r="D26" s="4"/>
      <c r="F26"/>
      <c r="H26" s="1"/>
      <c r="I26" s="4"/>
    </row>
    <row r="27" spans="1:9" x14ac:dyDescent="0.25">
      <c r="C27" s="1"/>
      <c r="D27" s="4"/>
      <c r="F27"/>
      <c r="H27" s="1"/>
      <c r="I27" s="4"/>
    </row>
    <row r="28" spans="1:9" x14ac:dyDescent="0.25">
      <c r="A28" s="103"/>
      <c r="B28" s="244" t="s">
        <v>106</v>
      </c>
      <c r="C28" s="244"/>
      <c r="D28" s="244"/>
      <c r="E28" s="244"/>
      <c r="F28" s="103"/>
      <c r="G28" s="104"/>
      <c r="H28" s="114"/>
      <c r="I28" s="107"/>
    </row>
    <row r="29" spans="1:9" x14ac:dyDescent="0.25">
      <c r="C29" s="4"/>
      <c r="F29"/>
    </row>
    <row r="30" spans="1:9" x14ac:dyDescent="0.25">
      <c r="B30" s="1" t="s">
        <v>175</v>
      </c>
      <c r="C30" s="59" t="s">
        <v>177</v>
      </c>
      <c r="D30" s="67" t="str">
        <f>IF(C30="A","Box Ogee (Galv.)",IF(C30="B","Box Ogee (Alum.)",IF(C30="C","Semi-Circle","&lt;~~ Must Enter A, B, or C")))</f>
        <v>Box Ogee (Alum.)</v>
      </c>
      <c r="E30" s="68"/>
      <c r="F30"/>
    </row>
    <row r="31" spans="1:9" x14ac:dyDescent="0.25">
      <c r="D31" s="1"/>
      <c r="E31" s="3"/>
      <c r="F31" s="2"/>
    </row>
    <row r="32" spans="1:9" x14ac:dyDescent="0.25">
      <c r="D32" s="1" t="s">
        <v>28</v>
      </c>
      <c r="E32" s="92" t="str">
        <f>IF(C30="A","Choose from 5, 6, or 7 (inch)",IF(C30="B","Choose from 5 or 6 (inch)",IF(C30="C","6 (inch)","Must Seclect A, B, or C above")))</f>
        <v>Choose from 5 or 6 (inch)</v>
      </c>
      <c r="F32" s="93"/>
      <c r="G32" s="93"/>
    </row>
    <row r="33" spans="1:25" x14ac:dyDescent="0.25">
      <c r="E33" s="4"/>
      <c r="F33"/>
      <c r="G33" s="121"/>
      <c r="H33" s="179" t="s">
        <v>147</v>
      </c>
      <c r="I33" s="121"/>
      <c r="K33" s="232"/>
      <c r="L33" s="232"/>
      <c r="M33" s="232"/>
      <c r="N33" s="232"/>
      <c r="O33" s="232"/>
      <c r="P33" s="232"/>
      <c r="Q33" s="232"/>
      <c r="R33" s="232"/>
    </row>
    <row r="34" spans="1:25" x14ac:dyDescent="0.25">
      <c r="B34" s="238" t="s">
        <v>172</v>
      </c>
      <c r="C34" s="239"/>
      <c r="D34" s="239"/>
      <c r="E34" s="4"/>
      <c r="F34"/>
      <c r="G34" s="180" t="s">
        <v>144</v>
      </c>
      <c r="H34" s="180" t="s">
        <v>145</v>
      </c>
      <c r="I34" s="180" t="s">
        <v>146</v>
      </c>
      <c r="K34" s="232"/>
      <c r="L34" s="232"/>
      <c r="M34" s="232"/>
      <c r="N34" s="232"/>
      <c r="O34" s="232"/>
      <c r="P34" s="232"/>
      <c r="Q34" s="232"/>
      <c r="R34" s="232"/>
      <c r="W34" s="45" t="s">
        <v>121</v>
      </c>
      <c r="Y34" t="s">
        <v>31</v>
      </c>
    </row>
    <row r="35" spans="1:25" x14ac:dyDescent="0.25">
      <c r="B35" s="239"/>
      <c r="C35" s="239"/>
      <c r="D35" s="239"/>
      <c r="E35" s="60">
        <v>6</v>
      </c>
      <c r="F35"/>
      <c r="G35" s="176" t="s">
        <v>133</v>
      </c>
      <c r="H35" s="177">
        <f>(1/16)/12</f>
        <v>5.208333333333333E-3</v>
      </c>
      <c r="I35" s="178">
        <f>H35</f>
        <v>5.208333333333333E-3</v>
      </c>
      <c r="K35" s="232"/>
      <c r="L35" s="232"/>
      <c r="M35" s="232"/>
      <c r="N35" s="232"/>
      <c r="O35" s="232"/>
      <c r="P35" s="232"/>
      <c r="Q35" s="232"/>
      <c r="R35" s="232"/>
      <c r="W35" s="58">
        <f>IF(C30="A",Y35,IF(C30="B",Y38,IF(C30="C",Y41,"Must Select Gutter Type as A, B, or C")))</f>
        <v>4.1989999999999998</v>
      </c>
      <c r="Y35" s="4">
        <f>IF(E35=5,3.045,IF(E35=6,4.708,IF(E35=7,8.138,"Must specify size as either 5, 6, or 7 (inch)")))</f>
        <v>4.7080000000000002</v>
      </c>
    </row>
    <row r="36" spans="1:25" x14ac:dyDescent="0.25">
      <c r="B36" s="42"/>
      <c r="C36" s="42"/>
      <c r="D36" s="42"/>
      <c r="E36" s="113"/>
      <c r="F36"/>
      <c r="G36" s="176" t="s">
        <v>134</v>
      </c>
      <c r="H36" s="177">
        <f>(2/16)/12</f>
        <v>1.0416666666666666E-2</v>
      </c>
      <c r="I36" s="178">
        <f>H36</f>
        <v>1.0416666666666666E-2</v>
      </c>
      <c r="K36" s="232"/>
      <c r="L36" s="232"/>
      <c r="M36" s="232"/>
      <c r="N36" s="232"/>
      <c r="O36" s="232"/>
      <c r="P36" s="232"/>
      <c r="Q36" s="232"/>
      <c r="R36" s="232"/>
      <c r="W36" s="58"/>
      <c r="Y36" s="4"/>
    </row>
    <row r="37" spans="1:25" x14ac:dyDescent="0.25">
      <c r="A37" s="196"/>
      <c r="B37" s="181"/>
      <c r="C37" s="181"/>
      <c r="D37" s="181" t="s">
        <v>173</v>
      </c>
      <c r="E37" s="60">
        <v>6</v>
      </c>
      <c r="F37"/>
      <c r="G37" s="176" t="s">
        <v>135</v>
      </c>
      <c r="H37" s="177">
        <f>(4/16)/12</f>
        <v>2.0833333333333332E-2</v>
      </c>
      <c r="I37" s="178">
        <f>H37</f>
        <v>2.0833333333333332E-2</v>
      </c>
      <c r="K37" s="232"/>
      <c r="L37" s="232"/>
      <c r="M37" s="232"/>
      <c r="N37" s="232"/>
      <c r="O37" s="232"/>
      <c r="P37" s="232"/>
      <c r="Q37" s="232"/>
      <c r="R37" s="232"/>
      <c r="W37" s="58"/>
      <c r="Y37" t="s">
        <v>32</v>
      </c>
    </row>
    <row r="38" spans="1:25" x14ac:dyDescent="0.25">
      <c r="E38" s="4"/>
      <c r="F38"/>
      <c r="K38" s="232"/>
      <c r="L38" s="232"/>
      <c r="M38" s="232"/>
      <c r="N38" s="232"/>
      <c r="O38" s="232"/>
      <c r="P38" s="232"/>
      <c r="Q38" s="232"/>
      <c r="R38" s="232"/>
      <c r="Y38" s="4">
        <f>IF(E35=5,2.456,IF(E35=6,4.199,"Must specify size as either 5 or 6 (inch)"))</f>
        <v>4.1989999999999998</v>
      </c>
    </row>
    <row r="39" spans="1:25" ht="15.6" x14ac:dyDescent="0.35">
      <c r="D39" s="1" t="s">
        <v>171</v>
      </c>
      <c r="E39" s="117">
        <v>55</v>
      </c>
      <c r="F39" s="243" t="s">
        <v>131</v>
      </c>
      <c r="G39" s="243"/>
      <c r="H39" s="118">
        <f>I25*E39</f>
        <v>0.36666666666666664</v>
      </c>
      <c r="K39" s="232"/>
      <c r="L39" s="232"/>
      <c r="M39" s="232"/>
      <c r="N39" s="232"/>
      <c r="O39" s="232"/>
      <c r="P39" s="232"/>
      <c r="Q39" s="232"/>
      <c r="R39" s="232"/>
      <c r="W39" s="1"/>
      <c r="Y39" s="115"/>
    </row>
    <row r="40" spans="1:25" x14ac:dyDescent="0.25">
      <c r="E40" s="4"/>
      <c r="F40"/>
      <c r="K40" s="232"/>
      <c r="L40" s="232"/>
      <c r="M40" s="232"/>
      <c r="N40" s="232"/>
      <c r="O40" s="232"/>
      <c r="P40" s="232"/>
      <c r="Q40" s="232"/>
      <c r="R40" s="232"/>
      <c r="Y40" s="4" t="s">
        <v>33</v>
      </c>
    </row>
    <row r="41" spans="1:25" x14ac:dyDescent="0.25">
      <c r="D41" s="1" t="s">
        <v>130</v>
      </c>
      <c r="E41" s="120">
        <f>E37/E39</f>
        <v>0.10909090909090909</v>
      </c>
      <c r="F41" s="7"/>
      <c r="K41" s="232"/>
      <c r="L41" s="232"/>
      <c r="M41" s="232"/>
      <c r="N41" s="232"/>
      <c r="O41" s="232"/>
      <c r="P41" s="232"/>
      <c r="Q41" s="232"/>
      <c r="R41" s="232"/>
      <c r="Y41" s="4">
        <f>IF(E35=6,2.229,"Must specify size as  6 (inch)")</f>
        <v>2.2290000000000001</v>
      </c>
    </row>
    <row r="42" spans="1:25" x14ac:dyDescent="0.25">
      <c r="D42" s="1" t="s">
        <v>132</v>
      </c>
      <c r="E42" s="116">
        <f>(E41/12)</f>
        <v>9.0909090909090905E-3</v>
      </c>
      <c r="F42"/>
      <c r="K42" s="232"/>
      <c r="L42" s="232"/>
      <c r="M42" s="232"/>
      <c r="N42" s="232"/>
      <c r="O42" s="232"/>
      <c r="P42" s="232"/>
      <c r="Q42" s="232"/>
      <c r="R42" s="232"/>
    </row>
    <row r="43" spans="1:25" x14ac:dyDescent="0.25">
      <c r="E43" s="4"/>
      <c r="F43"/>
      <c r="K43" s="232"/>
      <c r="L43" s="232"/>
      <c r="M43" s="232"/>
      <c r="N43" s="232"/>
      <c r="O43" s="232"/>
      <c r="P43" s="232"/>
      <c r="Q43" s="232"/>
      <c r="R43" s="232"/>
    </row>
    <row r="44" spans="1:25" x14ac:dyDescent="0.25">
      <c r="D44" s="1" t="s">
        <v>34</v>
      </c>
      <c r="E44" s="112">
        <f>W35*(E41/12)^0.5</f>
        <v>0.40035894122422416</v>
      </c>
      <c r="F44"/>
      <c r="K44" s="232"/>
      <c r="L44" s="232"/>
      <c r="M44" s="232"/>
      <c r="N44" s="232"/>
      <c r="O44" s="232"/>
      <c r="P44" s="232"/>
      <c r="Q44" s="232"/>
      <c r="R44" s="232"/>
    </row>
    <row r="45" spans="1:25" x14ac:dyDescent="0.25">
      <c r="E45" s="111"/>
      <c r="F45"/>
      <c r="K45" s="232"/>
      <c r="L45" s="232"/>
      <c r="M45" s="232"/>
      <c r="N45" s="232"/>
      <c r="O45" s="232"/>
      <c r="P45" s="232"/>
      <c r="Q45" s="232"/>
      <c r="R45" s="232"/>
    </row>
    <row r="46" spans="1:25" ht="13.2" customHeight="1" x14ac:dyDescent="0.25">
      <c r="B46" t="s">
        <v>95</v>
      </c>
      <c r="C46" s="247" t="str">
        <f>IF(E44&gt;H39,"**** GUTTER SIZE AND DOWNSPOUT SPACING GOOD ****","***ERROR:  Peak runoff exceeds gutter capacity, will require smaller downspout spacing (Cell E39) or select larger gutter size (Cell E35), or both.  RE-ENTER DATA ****")</f>
        <v>**** GUTTER SIZE AND DOWNSPOUT SPACING GOOD ****</v>
      </c>
      <c r="D46" s="247"/>
      <c r="E46" s="247"/>
      <c r="F46" s="247"/>
      <c r="G46" s="247"/>
      <c r="H46" s="247"/>
      <c r="I46" s="247"/>
      <c r="J46" s="42"/>
      <c r="K46" s="232"/>
      <c r="L46" s="232"/>
      <c r="M46" s="232"/>
      <c r="N46" s="232"/>
      <c r="O46" s="232"/>
      <c r="P46" s="232"/>
      <c r="Q46" s="232"/>
      <c r="R46" s="232"/>
      <c r="Y46" s="4"/>
    </row>
    <row r="47" spans="1:25" ht="15" customHeight="1" x14ac:dyDescent="0.25">
      <c r="C47" s="247"/>
      <c r="D47" s="247"/>
      <c r="E47" s="247"/>
      <c r="F47" s="247"/>
      <c r="G47" s="247"/>
      <c r="H47" s="247"/>
      <c r="I47" s="247"/>
      <c r="J47" s="42"/>
      <c r="K47" s="232"/>
      <c r="L47" s="232"/>
      <c r="M47" s="232"/>
      <c r="N47" s="232"/>
      <c r="O47" s="232"/>
      <c r="P47" s="232"/>
      <c r="Q47" s="232"/>
      <c r="R47" s="232"/>
      <c r="Y47" s="4"/>
    </row>
    <row r="48" spans="1:25" x14ac:dyDescent="0.25">
      <c r="C48" s="42"/>
      <c r="D48" s="42"/>
      <c r="E48" s="42"/>
      <c r="F48" s="42"/>
      <c r="G48" s="42"/>
      <c r="H48" s="42"/>
      <c r="I48" s="42"/>
      <c r="J48" s="42"/>
      <c r="K48" s="232"/>
      <c r="L48" s="232"/>
      <c r="M48" s="232"/>
      <c r="N48" s="232"/>
      <c r="O48" s="232"/>
      <c r="P48" s="232"/>
      <c r="Q48" s="232"/>
      <c r="R48" s="232"/>
      <c r="Y48" s="4"/>
    </row>
    <row r="49" spans="1:26" x14ac:dyDescent="0.25">
      <c r="B49" s="91" t="s">
        <v>99</v>
      </c>
      <c r="C49" s="87" t="str">
        <f>D3</f>
        <v>Dauphin</v>
      </c>
      <c r="D49" s="89"/>
      <c r="E49" s="88"/>
      <c r="F49" s="74"/>
      <c r="G49" s="74"/>
      <c r="H49" s="74"/>
      <c r="I49" s="42"/>
      <c r="J49" s="42"/>
      <c r="K49" s="42"/>
      <c r="L49" s="42"/>
      <c r="M49" s="42"/>
      <c r="Y49" s="4"/>
    </row>
    <row r="50" spans="1:26" x14ac:dyDescent="0.25">
      <c r="B50" s="91" t="s">
        <v>100</v>
      </c>
      <c r="C50" s="88" t="str">
        <f>D4</f>
        <v>Farmer John</v>
      </c>
      <c r="D50" s="89"/>
      <c r="E50" s="88"/>
      <c r="F50" s="74"/>
      <c r="G50" s="74"/>
      <c r="H50" s="74"/>
      <c r="I50" s="42"/>
      <c r="J50" s="42"/>
      <c r="K50" s="42"/>
      <c r="L50" s="42"/>
      <c r="M50" s="42"/>
      <c r="Y50" s="4"/>
    </row>
    <row r="51" spans="1:26" x14ac:dyDescent="0.25">
      <c r="B51" s="91"/>
      <c r="C51" s="89"/>
      <c r="D51" s="89"/>
      <c r="E51" s="88"/>
      <c r="F51" s="74"/>
      <c r="G51" s="74"/>
      <c r="H51" s="74"/>
      <c r="I51" s="42"/>
      <c r="J51" s="42"/>
      <c r="K51" s="42"/>
      <c r="L51" s="42"/>
      <c r="M51" s="42"/>
      <c r="Y51" s="4"/>
    </row>
    <row r="52" spans="1:26" x14ac:dyDescent="0.25">
      <c r="B52" s="91" t="s">
        <v>101</v>
      </c>
      <c r="C52" s="88" t="str">
        <f>D6</f>
        <v>Ag-Waste, Barn Roof Runoff Control</v>
      </c>
      <c r="D52" s="89"/>
      <c r="E52" s="88"/>
      <c r="F52" s="73"/>
      <c r="G52" s="73"/>
      <c r="H52" s="73"/>
      <c r="I52" s="42"/>
      <c r="J52" s="42"/>
      <c r="K52" s="42"/>
      <c r="L52" s="42"/>
      <c r="M52" s="42"/>
      <c r="Y52" s="4"/>
    </row>
    <row r="53" spans="1:26" x14ac:dyDescent="0.25">
      <c r="B53" s="91"/>
      <c r="C53" s="89"/>
      <c r="D53" s="89"/>
      <c r="E53" s="88"/>
      <c r="F53" s="74"/>
      <c r="G53" s="74"/>
      <c r="H53" s="74"/>
      <c r="I53" s="42"/>
      <c r="J53" s="42"/>
      <c r="K53" s="42"/>
      <c r="L53" s="42"/>
      <c r="M53" s="42"/>
      <c r="Y53" s="4"/>
    </row>
    <row r="54" spans="1:26" x14ac:dyDescent="0.25">
      <c r="B54" s="91" t="s">
        <v>102</v>
      </c>
      <c r="C54" s="88" t="str">
        <f>D8</f>
        <v>G. Cerrelli</v>
      </c>
      <c r="D54" s="89"/>
      <c r="E54" s="88"/>
      <c r="F54" s="75"/>
      <c r="G54" s="76"/>
      <c r="H54" s="76"/>
      <c r="I54" s="42"/>
      <c r="J54" s="42"/>
      <c r="K54" s="42"/>
      <c r="L54" s="42"/>
      <c r="M54" s="42"/>
      <c r="Y54" s="4"/>
    </row>
    <row r="55" spans="1:26" x14ac:dyDescent="0.25">
      <c r="B55" s="91" t="s">
        <v>103</v>
      </c>
      <c r="C55" s="90">
        <f>D9</f>
        <v>38814</v>
      </c>
      <c r="D55" s="89"/>
      <c r="E55" s="88"/>
      <c r="F55" s="75"/>
      <c r="G55" s="76"/>
      <c r="H55" s="76"/>
      <c r="I55" s="42"/>
      <c r="J55" s="42"/>
      <c r="K55" s="42"/>
      <c r="L55" s="42"/>
      <c r="M55" s="42"/>
      <c r="Y55" s="4"/>
    </row>
    <row r="56" spans="1:26" x14ac:dyDescent="0.25">
      <c r="A56" s="10"/>
      <c r="B56" s="10"/>
      <c r="C56" s="10"/>
      <c r="D56" s="10"/>
      <c r="E56" s="45"/>
      <c r="F56" s="10"/>
      <c r="G56" s="10"/>
      <c r="H56" s="10"/>
      <c r="I56" s="42"/>
      <c r="J56" s="42"/>
      <c r="K56" s="42"/>
      <c r="L56" s="42"/>
      <c r="M56" s="42"/>
      <c r="Y56" s="4"/>
    </row>
    <row r="57" spans="1:26" x14ac:dyDescent="0.25">
      <c r="A57" s="107"/>
      <c r="B57" s="107"/>
      <c r="C57" s="252" t="s">
        <v>107</v>
      </c>
      <c r="D57" s="252"/>
      <c r="E57" s="252"/>
      <c r="F57" s="252"/>
      <c r="G57" s="108"/>
      <c r="H57" s="108"/>
      <c r="I57" s="108"/>
      <c r="J57" s="42"/>
      <c r="K57" s="42"/>
      <c r="L57" s="42"/>
      <c r="M57" s="42"/>
      <c r="N57" s="42"/>
      <c r="O57" s="42"/>
      <c r="P57" s="42"/>
      <c r="Q57" s="42"/>
      <c r="R57" s="42"/>
      <c r="S57" s="42"/>
      <c r="T57" s="42"/>
      <c r="U57" s="42"/>
      <c r="V57" s="42"/>
      <c r="Z57" s="4"/>
    </row>
    <row r="58" spans="1:26" x14ac:dyDescent="0.25">
      <c r="Z58" s="4"/>
    </row>
    <row r="59" spans="1:26" x14ac:dyDescent="0.25">
      <c r="E59" s="1" t="s">
        <v>148</v>
      </c>
      <c r="F59" s="119">
        <f>E39</f>
        <v>55</v>
      </c>
    </row>
    <row r="60" spans="1:26" x14ac:dyDescent="0.25">
      <c r="E60" s="1"/>
      <c r="F60" s="46"/>
    </row>
    <row r="61" spans="1:26" x14ac:dyDescent="0.25">
      <c r="E61" s="1" t="s">
        <v>96</v>
      </c>
      <c r="F61" s="63">
        <f>ROUNDUP(D23/F59,0)</f>
        <v>2</v>
      </c>
      <c r="H61" s="46"/>
    </row>
    <row r="62" spans="1:26" x14ac:dyDescent="0.25">
      <c r="E62" s="1"/>
      <c r="H62" s="46"/>
    </row>
    <row r="63" spans="1:26" x14ac:dyDescent="0.25">
      <c r="E63" s="1" t="s">
        <v>97</v>
      </c>
      <c r="F63" s="64">
        <f>F59*I25</f>
        <v>0.36666666666666664</v>
      </c>
      <c r="H63" s="46"/>
    </row>
    <row r="65" spans="2:31" ht="15" x14ac:dyDescent="0.25">
      <c r="B65" s="245" t="s">
        <v>93</v>
      </c>
      <c r="C65" s="232"/>
      <c r="D65" s="232"/>
      <c r="E65" s="232"/>
      <c r="F65" s="232"/>
      <c r="G65" t="str">
        <f>IF(E35=5,"(for 5-inch gutter)",IF(E35=6,"(for 6-inch gutter)",IF(E35=7,"(for 7-inch gutter)","Must Select 5, 6, or 7-inch gutter")))</f>
        <v>(for 6-inch gutter)</v>
      </c>
      <c r="Z65" s="57" t="s">
        <v>90</v>
      </c>
      <c r="AA65" s="4"/>
      <c r="AB65" s="4"/>
      <c r="AC65" s="4"/>
      <c r="AD65" s="4"/>
    </row>
    <row r="66" spans="2:31" x14ac:dyDescent="0.25">
      <c r="B66" s="94" t="s">
        <v>120</v>
      </c>
      <c r="C66" s="246" t="s">
        <v>41</v>
      </c>
      <c r="D66" s="232"/>
      <c r="E66" s="51" t="s">
        <v>42</v>
      </c>
      <c r="F66"/>
      <c r="G66" s="85" t="s">
        <v>43</v>
      </c>
      <c r="Y66" s="49" t="s">
        <v>43</v>
      </c>
      <c r="Z66" s="49" t="s">
        <v>41</v>
      </c>
      <c r="AB66" s="51" t="s">
        <v>42</v>
      </c>
      <c r="AC66" s="50"/>
      <c r="AE66" s="49"/>
    </row>
    <row r="67" spans="2:31" x14ac:dyDescent="0.25">
      <c r="B67" s="1" t="str">
        <f>IF(C$30="A","Galv.",IF(C$30="B","Alum.",IF(C$30="C","Compatible w/ Gutter","n/a")))</f>
        <v>Alum.</v>
      </c>
      <c r="C67" s="232" t="str">
        <f t="shared" ref="C67:C72" si="0">IF($E$35=5,Z67,IF($E$35=6,Z80,IF($E$35=7,Z95,"n/a")))</f>
        <v>3" Plain Round</v>
      </c>
      <c r="D67" s="232"/>
      <c r="E67" s="210">
        <f t="shared" ref="E67:E72" si="1">IF($E$35=5,AB67,IF($E$35=6,AB80,IF($E$35=7,AB95,"n/a")))</f>
        <v>0.15</v>
      </c>
      <c r="F67" s="210"/>
      <c r="G67" s="43" t="str">
        <f t="shared" ref="G67:G72" si="2">IF($E$35=5,Y67,IF($E$35=6,Y80,IF($E$35=7,Y95,"n/a")))</f>
        <v>B7</v>
      </c>
      <c r="Y67" s="7" t="str">
        <f>IF(C$30="A",Support!M$7,IF(C$30="B",Support!M$25,"n/a"))</f>
        <v>B1</v>
      </c>
      <c r="Z67" t="str">
        <f>IF(C$30="A",Support!M$4,IF(C$30="B",Support!M$22,"n/a"))</f>
        <v>3" Plain Round</v>
      </c>
      <c r="AB67" s="7">
        <f>IF(C$30="A",Support!M$6,IF(C$30="B",Support!M$24,"n/a"))</f>
        <v>0.13</v>
      </c>
      <c r="AC67" s="7"/>
      <c r="AE67" s="7"/>
    </row>
    <row r="68" spans="2:31" x14ac:dyDescent="0.25">
      <c r="B68" s="1" t="str">
        <f t="shared" ref="B68:B76" si="3">IF(C$30="A","Galv.",IF(C$30="B","Alum.",IF(C$30="C","Compatible w/ Gutter","n/a")))</f>
        <v>Alum.</v>
      </c>
      <c r="C68" s="232" t="str">
        <f t="shared" si="0"/>
        <v>4" Plain Round</v>
      </c>
      <c r="D68" s="232"/>
      <c r="E68" s="210">
        <f t="shared" si="1"/>
        <v>0.28000000000000003</v>
      </c>
      <c r="F68" s="210"/>
      <c r="G68" s="43" t="str">
        <f t="shared" si="2"/>
        <v>B8</v>
      </c>
      <c r="Y68" s="7" t="str">
        <f>IF(C$30="A",Support!O$7,IF(C$30="B",Support!O$25,"n/a"))</f>
        <v>B2</v>
      </c>
      <c r="Z68" t="str">
        <f>IF(C$30="A",Support!O$4,IF(C$30="B",Support!O$22,"n/a"))</f>
        <v>3" Corrugated Round</v>
      </c>
      <c r="AB68" s="7">
        <f>IF(C$30="A",Support!O$6,IF(C$30="B",Support!O$24,"n/a"))</f>
        <v>0.11</v>
      </c>
      <c r="AC68" s="7"/>
      <c r="AE68" s="7"/>
    </row>
    <row r="69" spans="2:31" x14ac:dyDescent="0.25">
      <c r="B69" s="1" t="str">
        <f t="shared" si="3"/>
        <v>Alum.</v>
      </c>
      <c r="C69" s="232" t="str">
        <f t="shared" si="0"/>
        <v>3" Corrugated Round</v>
      </c>
      <c r="D69" s="232"/>
      <c r="E69" s="210">
        <f t="shared" si="1"/>
        <v>0.13</v>
      </c>
      <c r="F69" s="210"/>
      <c r="G69" s="43" t="str">
        <f t="shared" si="2"/>
        <v>B9</v>
      </c>
      <c r="Y69" s="7" t="str">
        <f>IF(C$30="A",Support!Q$7,IF(C$30="B",Support!Q$25,"n/a"))</f>
        <v>B3</v>
      </c>
      <c r="Z69" t="str">
        <f>IF(C$30="A",Support!Q$4,IF(C$30="B",Support!Q$22,"n/a"))</f>
        <v>3" Octagonal</v>
      </c>
      <c r="AB69" s="7">
        <f>IF(C$30="A",Support!Q$6,IF(C$30="B",Support!Q$24,"n/a"))</f>
        <v>0.13</v>
      </c>
      <c r="AC69" s="7"/>
      <c r="AE69" s="7"/>
    </row>
    <row r="70" spans="2:31" x14ac:dyDescent="0.25">
      <c r="B70" s="1" t="str">
        <f t="shared" si="3"/>
        <v>Alum.</v>
      </c>
      <c r="C70" s="232" t="str">
        <f t="shared" si="0"/>
        <v>4" Corrugated Round</v>
      </c>
      <c r="D70" s="232"/>
      <c r="E70" s="210">
        <f t="shared" si="1"/>
        <v>0.24</v>
      </c>
      <c r="F70" s="210"/>
      <c r="G70" s="43" t="str">
        <f t="shared" si="2"/>
        <v>B10</v>
      </c>
      <c r="Y70" s="7" t="str">
        <f>IF(C$30="A",Support!S$7,IF(C$30="B",Support!S$25,"n/a"))</f>
        <v>B4</v>
      </c>
      <c r="Z70" t="str">
        <f>IF(C$30="A",Support!S$4,IF(C$30="B",Support!S$22,"n/a"))</f>
        <v>3" Corrugated Square</v>
      </c>
      <c r="AB70" s="7">
        <f>IF(C$30="A",Support!S$6,IF(C$30="B",Support!S$24,"n/a"))</f>
        <v>0.14000000000000001</v>
      </c>
      <c r="AC70" s="7"/>
      <c r="AE70" s="7"/>
    </row>
    <row r="71" spans="2:31" x14ac:dyDescent="0.25">
      <c r="B71" s="1" t="str">
        <f t="shared" si="3"/>
        <v>Alum.</v>
      </c>
      <c r="C71" s="232" t="str">
        <f t="shared" si="0"/>
        <v>3" Octagonal</v>
      </c>
      <c r="D71" s="232"/>
      <c r="E71" s="210">
        <f t="shared" si="1"/>
        <v>0.13</v>
      </c>
      <c r="F71" s="210"/>
      <c r="G71" s="43" t="str">
        <f t="shared" si="2"/>
        <v>B11</v>
      </c>
      <c r="J71" s="7"/>
      <c r="Y71" s="7" t="str">
        <f>IF(C$30="A",Support!U$7,IF(C$30="B",Support!U$25,"n/a"))</f>
        <v>B5</v>
      </c>
      <c r="Z71" t="str">
        <f>IF(C$30="A",Support!U$4,IF(C$30="B",Support!U$22,"n/a"))</f>
        <v>2x3" Plain Rectangular</v>
      </c>
      <c r="AB71" s="7">
        <f>IF(C$30="A",Support!U$6,IF(C$30="B",Support!U$24,"n/a"))</f>
        <v>0.11</v>
      </c>
      <c r="AC71" s="7"/>
      <c r="AE71" s="7"/>
    </row>
    <row r="72" spans="2:31" x14ac:dyDescent="0.25">
      <c r="B72" s="1" t="str">
        <f t="shared" si="3"/>
        <v>Alum.</v>
      </c>
      <c r="C72" s="232" t="str">
        <f t="shared" si="0"/>
        <v>4" Octagonal</v>
      </c>
      <c r="D72" s="232"/>
      <c r="E72" s="210">
        <f t="shared" si="1"/>
        <v>0.23</v>
      </c>
      <c r="F72" s="210"/>
      <c r="G72" s="43" t="str">
        <f t="shared" si="2"/>
        <v>B12</v>
      </c>
      <c r="M72" s="1"/>
      <c r="N72" s="7"/>
      <c r="O72" s="7"/>
      <c r="P72" s="7"/>
      <c r="Q72" s="7"/>
      <c r="R72" s="7"/>
      <c r="S72" s="7"/>
      <c r="T72" s="7"/>
      <c r="U72" s="7"/>
      <c r="V72" s="7"/>
      <c r="W72" s="7"/>
      <c r="Y72" s="7" t="str">
        <f>IF(C$30="A",Support!V$7,IF(C$30="B",Support!V$25,"n/a"))</f>
        <v>B6</v>
      </c>
      <c r="Z72" t="str">
        <f>IF(C$30="A",Support!V$4,IF(C$30="B",Support!V$22,"n/a"))</f>
        <v>3x4" Plain Rectangular</v>
      </c>
      <c r="AB72" s="7">
        <f>IF(C$30="A",Support!V$6,IF(C$30="B",Support!V$24,"n/a"))</f>
        <v>0.22</v>
      </c>
      <c r="AC72" s="7"/>
      <c r="AE72" s="7"/>
    </row>
    <row r="73" spans="2:31" x14ac:dyDescent="0.25">
      <c r="B73" s="1" t="str">
        <f t="shared" si="3"/>
        <v>Alum.</v>
      </c>
      <c r="C73" s="232" t="str">
        <f>IF($E$35=5,"",IF($E$35=6,Z86,IF($E$35=7,Z101,"n/a")))</f>
        <v>3" Corrugated Square</v>
      </c>
      <c r="D73" s="232"/>
      <c r="E73" s="210">
        <f>IF($E$35=5,"",IF($E$35=6,AB86,IF($E$35=7,AB101,"n/a")))</f>
        <v>0.17</v>
      </c>
      <c r="F73" s="210"/>
      <c r="G73" s="43" t="str">
        <f>IF($E$35=5,"",IF($E$35=6,Y86,IF($E$35=7,Y101,"n/a")))</f>
        <v>B13</v>
      </c>
      <c r="N73" s="101"/>
      <c r="O73" s="101"/>
      <c r="P73" s="101"/>
      <c r="Q73" s="101"/>
      <c r="R73" s="101"/>
      <c r="S73" s="101"/>
      <c r="T73" s="101"/>
      <c r="U73" s="101"/>
      <c r="V73" s="101"/>
      <c r="W73" s="102"/>
      <c r="AB73" s="4"/>
    </row>
    <row r="74" spans="2:31" x14ac:dyDescent="0.25">
      <c r="B74" s="1" t="str">
        <f t="shared" si="3"/>
        <v>Alum.</v>
      </c>
      <c r="C74" s="232" t="str">
        <f>IF($E$35=5,"",IF($E$35=6,Z87,IF($E$35=7,Z102,"n/a")))</f>
        <v>4" Corrugated Square</v>
      </c>
      <c r="D74" s="232"/>
      <c r="E74" s="210">
        <f>IF($E$35=5,"",IF($E$35=6,AB87,IF($E$35=7,AB102,"n/a")))</f>
        <v>0.26</v>
      </c>
      <c r="F74" s="210"/>
      <c r="G74" s="43" t="str">
        <f>IF($E$35=5,"",IF($E$35=6,Y87,IF($E$35=7,Y102,"n/a")))</f>
        <v>B14</v>
      </c>
      <c r="N74" s="101"/>
      <c r="O74" s="101"/>
      <c r="P74" s="101"/>
      <c r="Q74" s="101"/>
      <c r="R74" s="101"/>
      <c r="S74" s="101"/>
      <c r="T74" s="101"/>
      <c r="U74" s="101"/>
      <c r="V74" s="101"/>
      <c r="W74" s="102"/>
      <c r="AB74" s="4"/>
    </row>
    <row r="75" spans="2:31" x14ac:dyDescent="0.25">
      <c r="B75" s="1" t="str">
        <f t="shared" si="3"/>
        <v>Alum.</v>
      </c>
      <c r="C75" s="232" t="str">
        <f>IF($E$35=5,"",IF($E$35=6,Z89,IF($E$35=7,Z103,"n/a")))</f>
        <v>2x3" Plain Rectangular</v>
      </c>
      <c r="D75" s="232"/>
      <c r="E75" s="210">
        <f>IF($E$35=5,"",IF($E$35=6,AB89,IF($E$35=7,AB103,"n/a")))</f>
        <v>0.13</v>
      </c>
      <c r="F75" s="210"/>
      <c r="G75" s="43" t="str">
        <f>IF($E$35=5,"",IF($E$35=6,Y89,IF($E$35=7,Y103,"n/a")))</f>
        <v>B15</v>
      </c>
      <c r="N75" s="101"/>
      <c r="O75" s="101"/>
      <c r="P75" s="101"/>
      <c r="Q75" s="101"/>
      <c r="R75" s="101"/>
      <c r="S75" s="101"/>
      <c r="T75" s="101"/>
      <c r="U75" s="101"/>
      <c r="V75" s="101"/>
      <c r="W75" s="102"/>
      <c r="AB75" s="4"/>
    </row>
    <row r="76" spans="2:31" x14ac:dyDescent="0.25">
      <c r="B76" s="1" t="str">
        <f t="shared" si="3"/>
        <v>Alum.</v>
      </c>
      <c r="C76" s="232" t="str">
        <f>IF($E$35=5,"",IF($E$35=6,Z90,IF($E$35=7,Z104,"n/a")))</f>
        <v>3x4" Plain Rectangular</v>
      </c>
      <c r="D76" s="232"/>
      <c r="E76" s="210">
        <f>IF($E$35=5,"",IF($E$35=6,AB90,IF($E$35=7,AB104,"n/a")))</f>
        <v>0.26</v>
      </c>
      <c r="F76" s="210"/>
      <c r="G76" s="43" t="str">
        <f>IF($E$35=5,"",IF($E$35=6,Y90,IF($E$35=7,Y104,"n/a")))</f>
        <v>B16</v>
      </c>
      <c r="N76" s="101"/>
      <c r="O76" s="101"/>
      <c r="P76" s="101"/>
      <c r="Q76" s="101"/>
      <c r="R76" s="101"/>
      <c r="S76" s="101"/>
      <c r="T76" s="101"/>
      <c r="U76" s="101"/>
      <c r="V76" s="101"/>
      <c r="W76" s="102"/>
      <c r="AB76" s="4"/>
    </row>
    <row r="77" spans="2:31" x14ac:dyDescent="0.25">
      <c r="C77" s="50"/>
      <c r="D77" s="50"/>
      <c r="N77" s="101"/>
      <c r="O77" s="101"/>
      <c r="P77" s="101"/>
      <c r="Q77" s="101"/>
      <c r="R77" s="101"/>
      <c r="S77" s="101"/>
      <c r="T77" s="101"/>
      <c r="U77" s="101"/>
      <c r="V77" s="101"/>
      <c r="W77" s="102"/>
      <c r="AB77" s="4"/>
    </row>
    <row r="78" spans="2:31" s="7" customFormat="1" ht="15" x14ac:dyDescent="0.25">
      <c r="Z78" s="86" t="s">
        <v>91</v>
      </c>
    </row>
    <row r="79" spans="2:31" x14ac:dyDescent="0.25">
      <c r="Y79" s="49" t="s">
        <v>43</v>
      </c>
      <c r="Z79" s="49" t="s">
        <v>41</v>
      </c>
      <c r="AA79" s="50"/>
      <c r="AB79" s="51" t="s">
        <v>42</v>
      </c>
      <c r="AC79" s="50"/>
      <c r="AD79" s="50"/>
    </row>
    <row r="80" spans="2:31" ht="13.8" thickBot="1" x14ac:dyDescent="0.3">
      <c r="C80" t="s">
        <v>119</v>
      </c>
      <c r="Y80" s="7" t="str">
        <f>IF(C$30="A",Support!M$13,IF(C$30="B",Support!M$31,IF(C$30="C",Support!M$37,"n/a")))</f>
        <v>B7</v>
      </c>
      <c r="Z80" s="50" t="str">
        <f>IF(C$30="A",Support!M$10,IF(C$30="B",Support!M$28,IF(C$30="C",Support!M$34,"n/a")))</f>
        <v>3" Plain Round</v>
      </c>
      <c r="AA80" s="50"/>
      <c r="AB80" s="7">
        <f>IF(C$30="A",Support!M$12,IF(C$30="B",Support!M$30,IF(C$30="C",Support!M$36,"n/a")))</f>
        <v>0.15</v>
      </c>
      <c r="AC80" s="7"/>
      <c r="AD80" s="50"/>
    </row>
    <row r="81" spans="1:31" ht="13.8" thickBot="1" x14ac:dyDescent="0.3">
      <c r="C81" s="61" t="s">
        <v>179</v>
      </c>
      <c r="Y81" s="7" t="str">
        <f>IF(C$30="A",Support!N$13,IF(C$30="B",Support!N$31,IF(C$30="C",Support!N$37,"n/a")))</f>
        <v>B8</v>
      </c>
      <c r="Z81" s="50" t="str">
        <f>IF(C$30="A",Support!N$10,IF(C$30="B",Support!N$28,IF(C$30="C",Support!N$34,"n/a")))</f>
        <v>4" Plain Round</v>
      </c>
      <c r="AA81" s="50"/>
      <c r="AB81" s="7">
        <f>IF(C$30="A",Support!N$12,IF(C$30="B",Support!N$30,IF(C$30="C",Support!N$36,"n/a")))</f>
        <v>0.28000000000000003</v>
      </c>
      <c r="AC81" s="7"/>
      <c r="AD81" s="50"/>
    </row>
    <row r="82" spans="1:31" x14ac:dyDescent="0.25">
      <c r="Y82" s="7" t="str">
        <f>IF(C$30="A",Support!O$13,IF(C$30="B",Support!O$31,IF(C$30="C",Support!O$37,"n/a")))</f>
        <v>B9</v>
      </c>
      <c r="Z82" s="50" t="str">
        <f>IF(C$30="A",Support!O$10,IF(C$30="B",Support!O$28,IF(C$30="C",Support!O$34,"n/a")))</f>
        <v>3" Corrugated Round</v>
      </c>
      <c r="AA82" s="50"/>
      <c r="AB82" s="7">
        <f>IF(C$30="A",Support!O$12,IF(C$30="B",Support!O$30,IF(C$30="C",Support!O$36,"n/a")))</f>
        <v>0.13</v>
      </c>
      <c r="AC82" s="7"/>
      <c r="AD82" s="50"/>
    </row>
    <row r="83" spans="1:31" x14ac:dyDescent="0.25">
      <c r="C83" s="246" t="s">
        <v>94</v>
      </c>
      <c r="D83" s="232"/>
      <c r="G83" s="51" t="s">
        <v>42</v>
      </c>
      <c r="Y83" s="7" t="str">
        <f>IF(C$30="A",Support!P$13,IF(C$30="B",Support!P$31,IF(C$30="C",Support!P$37,"n/a")))</f>
        <v>B10</v>
      </c>
      <c r="Z83" s="50" t="str">
        <f>IF(C$30="A",Support!P$10,IF(C$30="B",Support!P$28,IF(C$30="C",Support!P$34,"n/a")))</f>
        <v>4" Corrugated Round</v>
      </c>
      <c r="AA83" s="50"/>
      <c r="AB83" s="7">
        <f>IF(C$30="A",Support!P$12,IF(C$30="B",Support!P$30,IF(C$30="C",Support!P$36,"n/a")))</f>
        <v>0.24</v>
      </c>
      <c r="AC83" s="7"/>
      <c r="AD83" s="50"/>
    </row>
    <row r="84" spans="1:31" x14ac:dyDescent="0.25">
      <c r="A84" s="68"/>
      <c r="B84" s="96" t="str">
        <f>B67</f>
        <v>Alum.</v>
      </c>
      <c r="C84" s="67" t="str">
        <f>IF(OR(C81=G67,C81=G68,C81=G69,C81=G70,C81=G71,C81=G72,C81=G73,C81=G74,C81=G75,C81=G76),VLOOKUP(C81,Y67:AB104,2,FALSE),"Must Specify ID No. Only From Above List")</f>
        <v>3" Plain Round</v>
      </c>
      <c r="D84" s="66"/>
      <c r="E84" s="68"/>
      <c r="G84" s="67">
        <f>IF(OR(C81=G67,C81=G68,C81=G69,C81=G70,C81=G71,C81=G72,C81=G73,C81=G74,C81=G75,C81=G76),VLOOKUP(C81,Y67:AB104,4,FALSE),"n/a")</f>
        <v>0.15</v>
      </c>
      <c r="H84" s="68"/>
      <c r="Y84" s="7" t="str">
        <f>IF(C$30="A",Support!Q$13,IF(C$30="B",Support!Q$31,IF(C$30="C",Support!Q$37,"n/a")))</f>
        <v>B11</v>
      </c>
      <c r="Z84" s="50" t="str">
        <f>IF(C$30="A",Support!Q$10,IF(C$30="B",Support!Q$28,IF(C$30="C",Support!Q$34,"n/a")))</f>
        <v>3" Octagonal</v>
      </c>
      <c r="AA84" s="50"/>
      <c r="AB84" s="7">
        <f>IF(C$30="A",Support!Q$12,IF(C$30="B",Support!Q$30,IF(C$30="C",Support!Q$36,"n/a")))</f>
        <v>0.13</v>
      </c>
      <c r="AC84" s="7"/>
      <c r="AD84" s="50"/>
    </row>
    <row r="85" spans="1:31" x14ac:dyDescent="0.25">
      <c r="Y85" s="7" t="str">
        <f>IF(C$30="A",Support!R$13,IF(C$30="B",Support!R$31,IF(C$30="C",Support!R$37,"n/a")))</f>
        <v>B12</v>
      </c>
      <c r="Z85" s="50" t="str">
        <f>IF(C$30="A",Support!R$10,IF(C$30="B",Support!R$28,IF(C$30="C",Support!R$34,"n/a")))</f>
        <v>4" Octagonal</v>
      </c>
      <c r="AA85" s="50"/>
      <c r="AB85" s="7">
        <f>IF(C$30="A",Support!R$12,IF(C$30="B",Support!R$30,IF(C$30="C",Support!R$36,"n/a")))</f>
        <v>0.23</v>
      </c>
      <c r="AC85" s="7"/>
      <c r="AD85" s="50"/>
    </row>
    <row r="86" spans="1:31" x14ac:dyDescent="0.25">
      <c r="C86" s="7" t="s">
        <v>98</v>
      </c>
      <c r="E86" t="s">
        <v>126</v>
      </c>
      <c r="Y86" s="7" t="str">
        <f>IF(C$30="A",Support!S$13,IF(C$30="B",Support!S$31,IF(C$30="C",Support!S$37,"n/a")))</f>
        <v>B13</v>
      </c>
      <c r="Z86" s="50" t="str">
        <f>IF(C$30="A",Support!S$10,IF(C$30="B",Support!S$28,IF(C$30="C",Support!S$34,"n/a")))</f>
        <v>3" Corrugated Square</v>
      </c>
      <c r="AA86" s="50"/>
      <c r="AB86" s="7">
        <f>IF(C$30="A",Support!S$12,IF(C$30="B",Support!S$30,IF(C$30="C",Support!S$36,"n/a")))</f>
        <v>0.17</v>
      </c>
      <c r="AC86" s="7"/>
      <c r="AD86" s="50"/>
    </row>
    <row r="87" spans="1:31" x14ac:dyDescent="0.25">
      <c r="C87" s="69">
        <f>ROUNDUP(F63/G84,0)</f>
        <v>3</v>
      </c>
      <c r="F87" s="69">
        <f>IF(C87&gt;1,ROUNDUP(((D23-(F61-1)*F59)*I25)/G84,0),1)</f>
        <v>3</v>
      </c>
      <c r="Y87" s="7" t="str">
        <f>IF(C$30="A",Support!T$13,IF(C$30="B",Support!T$31,IF(C$30="C",Support!T$37,"n/a")))</f>
        <v>B14</v>
      </c>
      <c r="Z87" s="50" t="str">
        <f>IF(C$30="A",Support!T$10,IF(C$30="B",Support!T$28,IF(C$30="C",Support!T$34,"n/a")))</f>
        <v>4" Corrugated Square</v>
      </c>
      <c r="AA87" s="50"/>
      <c r="AB87" s="7">
        <f>IF(C$30="A",Support!T$12,IF(C$30="B",Support!T$30,IF(C$30="C",Support!T$36,"n/a")))</f>
        <v>0.26</v>
      </c>
      <c r="AC87" s="7"/>
      <c r="AD87" s="50"/>
    </row>
    <row r="88" spans="1:31" x14ac:dyDescent="0.25">
      <c r="E88" s="65"/>
      <c r="Y88" s="7"/>
      <c r="Z88" s="50"/>
      <c r="AA88" s="50"/>
      <c r="AB88" s="7"/>
      <c r="AC88" s="7"/>
      <c r="AD88" s="50"/>
    </row>
    <row r="89" spans="1:31" x14ac:dyDescent="0.25">
      <c r="A89" s="103"/>
      <c r="B89" s="106" t="s">
        <v>122</v>
      </c>
      <c r="C89" s="103"/>
      <c r="D89" s="103"/>
      <c r="E89" s="103"/>
      <c r="F89" s="105"/>
      <c r="G89" s="103"/>
      <c r="H89" s="103"/>
      <c r="I89" s="103"/>
      <c r="Y89" s="7" t="str">
        <f>IF(C$30="A",Support!U$13,IF(C$30="B",Support!U$31,IF(C$30="C",Support!U$37,"n/a")))</f>
        <v>B15</v>
      </c>
      <c r="Z89" s="50" t="str">
        <f>IF(C$30="A",Support!U$10,IF(C$30="B",Support!U$28,IF(C$30="C",Support!U$34,"n/a")))</f>
        <v>2x3" Plain Rectangular</v>
      </c>
      <c r="AA89" s="50"/>
      <c r="AB89" s="7">
        <f>IF(C$30="A",Support!U$12,IF(C$30="B",Support!U$30,IF(C$30="C",Support!U$36,"n/a")))</f>
        <v>0.13</v>
      </c>
      <c r="AC89" s="7"/>
      <c r="AD89" s="50"/>
    </row>
    <row r="90" spans="1:31" x14ac:dyDescent="0.25">
      <c r="A90" s="1" t="s">
        <v>123</v>
      </c>
      <c r="B90" s="68" t="str">
        <f>D23&amp;" ft of "&amp;E35&amp;"-in "&amp;D30</f>
        <v>110 ft of 6-in Box Ogee (Alum.)</v>
      </c>
      <c r="C90" s="66"/>
      <c r="D90" s="66"/>
      <c r="E90" s="7"/>
      <c r="F90" s="1"/>
      <c r="G90" s="97"/>
      <c r="Y90" s="7" t="str">
        <f>IF(C$30="A",Support!V$13,IF(C$30="B",Support!V$31,IF(C$30="C",Support!V$37,"n/a")))</f>
        <v>B16</v>
      </c>
      <c r="Z90" s="50" t="str">
        <f>IF(C$30="A",Support!V$10,IF(C$30="B",Support!V$28,IF(C$30="C",Support!V$34,"n/a")))</f>
        <v>3x4" Plain Rectangular</v>
      </c>
      <c r="AA90" s="50"/>
      <c r="AB90" s="7">
        <f>IF(C$30="A",Support!V$12,IF(C$30="B",Support!V$30,IF(C$30="C",Support!V$36,"n/a")))</f>
        <v>0.26</v>
      </c>
      <c r="AC90" s="7"/>
      <c r="AD90" s="50"/>
    </row>
    <row r="91" spans="1:31" x14ac:dyDescent="0.25">
      <c r="A91" t="s">
        <v>124</v>
      </c>
      <c r="B91" s="68" t="str">
        <f>((F61-1)*C87+F87)&amp;" @ "&amp;C84&amp;"("&amp;B84&amp;")"</f>
        <v>6 @ 3" Plain Round(Alum.)</v>
      </c>
      <c r="C91" s="66"/>
      <c r="D91" s="68"/>
      <c r="E91" s="4"/>
      <c r="Y91" s="7"/>
      <c r="Z91" s="50"/>
      <c r="AA91" s="50"/>
      <c r="AB91" s="7"/>
      <c r="AC91" s="7"/>
      <c r="AD91" s="50"/>
      <c r="AE91" s="7"/>
    </row>
    <row r="92" spans="1:31" x14ac:dyDescent="0.25">
      <c r="Y92" s="50"/>
      <c r="Z92" s="50"/>
      <c r="AA92" s="50"/>
      <c r="AB92" s="4"/>
      <c r="AC92" s="50"/>
      <c r="AD92" s="50"/>
    </row>
    <row r="93" spans="1:31" ht="15" x14ac:dyDescent="0.25">
      <c r="Y93" s="50"/>
      <c r="Z93" s="57" t="s">
        <v>92</v>
      </c>
      <c r="AA93" s="50"/>
      <c r="AB93" s="50"/>
      <c r="AC93" s="50"/>
      <c r="AD93" s="50"/>
    </row>
    <row r="94" spans="1:31" x14ac:dyDescent="0.25">
      <c r="Y94" s="49" t="s">
        <v>43</v>
      </c>
      <c r="Z94" s="49" t="s">
        <v>41</v>
      </c>
      <c r="AA94" s="50"/>
      <c r="AB94" s="51" t="s">
        <v>42</v>
      </c>
      <c r="AC94" s="50"/>
      <c r="AD94" s="50"/>
    </row>
    <row r="95" spans="1:31" x14ac:dyDescent="0.25">
      <c r="Y95" s="7" t="str">
        <f>IF(C$30="A",Support!M$19,"n/a")</f>
        <v>n/a</v>
      </c>
      <c r="Z95" s="50" t="str">
        <f>IF(C$30="A",Support!M$16,"n/a")</f>
        <v>n/a</v>
      </c>
      <c r="AA95" s="50"/>
      <c r="AB95" s="7" t="str">
        <f>IF(C$30="A",Support!M$18,"n/a")</f>
        <v>n/a</v>
      </c>
      <c r="AC95" s="7"/>
      <c r="AD95" s="50"/>
    </row>
    <row r="96" spans="1:31" x14ac:dyDescent="0.25">
      <c r="Y96" s="7" t="str">
        <f>IF(C$30="A",Support!N$19,"n/a")</f>
        <v>n/a</v>
      </c>
      <c r="Z96" s="50" t="str">
        <f>IF(C$30="A",Support!N$16,"n/a")</f>
        <v>n/a</v>
      </c>
      <c r="AA96" s="50"/>
      <c r="AB96" s="7" t="str">
        <f>IF(C$30="A",Support!N$18,"n/a")</f>
        <v>n/a</v>
      </c>
      <c r="AC96" s="7"/>
      <c r="AD96" s="50"/>
    </row>
    <row r="97" spans="25:30" x14ac:dyDescent="0.25">
      <c r="Y97" s="7" t="str">
        <f>IF(C$30="A",Support!O$19,"n/a")</f>
        <v>n/a</v>
      </c>
      <c r="Z97" s="50" t="str">
        <f>IF(C$30="A",Support!O$16,"n/a")</f>
        <v>n/a</v>
      </c>
      <c r="AA97" s="50"/>
      <c r="AB97" s="7" t="str">
        <f>IF(C$30="A",Support!O$18,"n/a")</f>
        <v>n/a</v>
      </c>
      <c r="AC97" s="7"/>
      <c r="AD97" s="50"/>
    </row>
    <row r="98" spans="25:30" x14ac:dyDescent="0.25">
      <c r="Y98" s="7" t="str">
        <f>IF(C$30="A",Support!P$19,"n/a")</f>
        <v>n/a</v>
      </c>
      <c r="Z98" s="50" t="str">
        <f>IF(C$30="A",Support!P$16,"n/a")</f>
        <v>n/a</v>
      </c>
      <c r="AA98" s="50"/>
      <c r="AB98" s="7" t="str">
        <f>IF(C$30="A",Support!P$18,"n/a")</f>
        <v>n/a</v>
      </c>
      <c r="AC98" s="7"/>
      <c r="AD98" s="50"/>
    </row>
    <row r="99" spans="25:30" x14ac:dyDescent="0.25">
      <c r="Y99" s="7" t="str">
        <f>IF(C$30="A",Support!Q$19,"n/a")</f>
        <v>n/a</v>
      </c>
      <c r="Z99" s="50" t="str">
        <f>IF(C$30="A",Support!Q$16,"n/a")</f>
        <v>n/a</v>
      </c>
      <c r="AA99" s="50"/>
      <c r="AB99" s="7" t="str">
        <f>IF(C$30="A",Support!Q$18,"n/a")</f>
        <v>n/a</v>
      </c>
      <c r="AC99" s="7"/>
      <c r="AD99" s="50"/>
    </row>
    <row r="100" spans="25:30" x14ac:dyDescent="0.25">
      <c r="Y100" s="7" t="str">
        <f>IF(C$30="A",Support!R$19,"n/a")</f>
        <v>n/a</v>
      </c>
      <c r="Z100" s="50" t="str">
        <f>IF(C$30="A",Support!R$16,"n/a")</f>
        <v>n/a</v>
      </c>
      <c r="AA100" s="50"/>
      <c r="AB100" s="7" t="str">
        <f>IF(C$30="A",Support!R$18,"n/a")</f>
        <v>n/a</v>
      </c>
      <c r="AC100" s="7"/>
      <c r="AD100" s="50"/>
    </row>
    <row r="101" spans="25:30" x14ac:dyDescent="0.25">
      <c r="Y101" s="7" t="str">
        <f>IF(C$30="A",Support!S$19,"n/a")</f>
        <v>n/a</v>
      </c>
      <c r="Z101" s="50" t="str">
        <f>IF(C$30="A",Support!S$16,"n/a")</f>
        <v>n/a</v>
      </c>
      <c r="AA101" s="50"/>
      <c r="AB101" s="7" t="str">
        <f>IF(C$30="A",Support!S$18,"n/a")</f>
        <v>n/a</v>
      </c>
      <c r="AC101" s="7"/>
      <c r="AD101" s="50"/>
    </row>
    <row r="102" spans="25:30" x14ac:dyDescent="0.25">
      <c r="Y102" s="7" t="str">
        <f>IF(C$30="A",Support!T$19,"n/a")</f>
        <v>n/a</v>
      </c>
      <c r="Z102" s="50" t="str">
        <f>IF(C$30="A",Support!T$16,"n/a")</f>
        <v>n/a</v>
      </c>
      <c r="AA102" s="50"/>
      <c r="AB102" s="7" t="str">
        <f>IF(C$30="A",Support!T$18,"n/a")</f>
        <v>n/a</v>
      </c>
      <c r="AC102" s="7"/>
      <c r="AD102" s="50"/>
    </row>
    <row r="103" spans="25:30" x14ac:dyDescent="0.25">
      <c r="Y103" s="7" t="str">
        <f>IF(C$30="A",Support!U$19,"n/a")</f>
        <v>n/a</v>
      </c>
      <c r="Z103" s="50" t="str">
        <f>IF(C$30="A",Support!U$16,"n/a")</f>
        <v>n/a</v>
      </c>
      <c r="AA103" s="50"/>
      <c r="AB103" s="7" t="str">
        <f>IF(C$30="A",Support!U$18,"n/a")</f>
        <v>n/a</v>
      </c>
      <c r="AC103" s="7"/>
      <c r="AD103" s="50"/>
    </row>
    <row r="104" spans="25:30" x14ac:dyDescent="0.25">
      <c r="Y104" s="7" t="str">
        <f>IF(C$30="A",Support!V$19,"n/a")</f>
        <v>n/a</v>
      </c>
      <c r="Z104" s="50" t="str">
        <f>IF(C$30="A",Support!V$16,"n/a")</f>
        <v>n/a</v>
      </c>
      <c r="AA104" s="50"/>
      <c r="AB104" s="7" t="str">
        <f>IF(C$30="A",Support!V$18,"n/a")</f>
        <v>n/a</v>
      </c>
      <c r="AC104" s="7"/>
      <c r="AD104" s="50"/>
    </row>
  </sheetData>
  <mergeCells count="27">
    <mergeCell ref="C69:D69"/>
    <mergeCell ref="C70:D70"/>
    <mergeCell ref="C83:D83"/>
    <mergeCell ref="C74:D74"/>
    <mergeCell ref="C75:D75"/>
    <mergeCell ref="C73:D73"/>
    <mergeCell ref="C76:D76"/>
    <mergeCell ref="C71:D71"/>
    <mergeCell ref="C72:D72"/>
    <mergeCell ref="C67:D67"/>
    <mergeCell ref="C68:D68"/>
    <mergeCell ref="B28:E28"/>
    <mergeCell ref="C57:F57"/>
    <mergeCell ref="B65:F65"/>
    <mergeCell ref="C66:D66"/>
    <mergeCell ref="F39:G39"/>
    <mergeCell ref="C46:I46"/>
    <mergeCell ref="C47:I47"/>
    <mergeCell ref="K33:R48"/>
    <mergeCell ref="B20:I20"/>
    <mergeCell ref="D3:E3"/>
    <mergeCell ref="D4:E4"/>
    <mergeCell ref="D6:I6"/>
    <mergeCell ref="D8:E8"/>
    <mergeCell ref="B34:D35"/>
    <mergeCell ref="C14:F14"/>
    <mergeCell ref="B22:E22"/>
  </mergeCells>
  <phoneticPr fontId="6" type="noConversion"/>
  <pageMargins left="0.75" right="0.75" top="1" bottom="1" header="0.5" footer="0.5"/>
  <pageSetup scale="93" fitToHeight="2" orientation="portrait" horizontalDpi="4294967293" verticalDpi="4294967293" r:id="rId1"/>
  <headerFooter alignWithMargins="0"/>
  <rowBreaks count="1" manualBreakCount="1">
    <brk id="47" max="8" man="1"/>
  </rowBreaks>
  <ignoredErrors>
    <ignoredError sqref="F59"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AE86"/>
  <sheetViews>
    <sheetView topLeftCell="C1" workbookViewId="0">
      <selection activeCell="H83" activeCellId="3" sqref="H22:H24 H28:H30 H77:H78 H83:H84"/>
    </sheetView>
  </sheetViews>
  <sheetFormatPr defaultRowHeight="13.2" x14ac:dyDescent="0.25"/>
  <cols>
    <col min="1" max="1" width="9.33203125" bestFit="1" customWidth="1"/>
    <col min="2" max="2" width="15.44140625" style="1" bestFit="1" customWidth="1"/>
    <col min="3" max="3" width="15.109375" bestFit="1" customWidth="1"/>
    <col min="4" max="4" width="16.33203125" bestFit="1" customWidth="1"/>
    <col min="6" max="6" width="13.33203125" style="7" bestFit="1" customWidth="1"/>
    <col min="7" max="7" width="12.21875" customWidth="1"/>
    <col min="9" max="9" width="10.88671875" customWidth="1"/>
    <col min="13" max="14" width="13.44140625" bestFit="1" customWidth="1"/>
    <col min="15" max="16" width="18.44140625" bestFit="1" customWidth="1"/>
    <col min="17" max="17" width="12.109375" bestFit="1" customWidth="1"/>
    <col min="18" max="18" width="13.109375" customWidth="1"/>
    <col min="19" max="20" width="19" bestFit="1" customWidth="1"/>
    <col min="21" max="22" width="20.109375" bestFit="1" customWidth="1"/>
    <col min="24" max="24" width="15.6640625" customWidth="1"/>
    <col min="25" max="25" width="14.88671875" bestFit="1" customWidth="1"/>
    <col min="26" max="26" width="15.6640625" bestFit="1" customWidth="1"/>
    <col min="27" max="27" width="14.88671875" bestFit="1" customWidth="1"/>
    <col min="28" max="28" width="14.88671875" customWidth="1"/>
    <col min="31" max="31" width="12.109375" bestFit="1" customWidth="1"/>
  </cols>
  <sheetData>
    <row r="2" spans="1:31" ht="13.8" thickBot="1" x14ac:dyDescent="0.3">
      <c r="AE2" s="253" t="s">
        <v>157</v>
      </c>
    </row>
    <row r="3" spans="1:31" ht="13.8" thickTop="1" x14ac:dyDescent="0.25">
      <c r="A3" s="23"/>
      <c r="B3" s="20"/>
      <c r="C3" s="8"/>
      <c r="D3" s="8"/>
      <c r="E3" s="8"/>
      <c r="F3" s="9"/>
      <c r="G3" s="8"/>
      <c r="H3" s="8"/>
      <c r="I3" s="8"/>
      <c r="J3" s="8"/>
      <c r="K3" s="31"/>
      <c r="L3" s="32"/>
      <c r="M3" s="32"/>
      <c r="N3" s="32"/>
      <c r="O3" s="32"/>
      <c r="P3" s="32"/>
      <c r="Q3" s="32"/>
      <c r="R3" s="32"/>
      <c r="S3" s="32"/>
      <c r="T3" s="32"/>
      <c r="U3" s="32"/>
      <c r="V3" s="33"/>
      <c r="X3" s="249" t="s">
        <v>149</v>
      </c>
      <c r="Y3" s="249"/>
      <c r="Z3" s="249"/>
      <c r="AA3" s="249"/>
      <c r="AB3" s="249"/>
      <c r="AC3" s="249"/>
    </row>
    <row r="4" spans="1:31" ht="15.6" x14ac:dyDescent="0.25">
      <c r="A4" s="24"/>
      <c r="B4" s="21" t="s">
        <v>2</v>
      </c>
      <c r="C4" s="254">
        <v>5</v>
      </c>
      <c r="D4" s="10"/>
      <c r="E4" s="10"/>
      <c r="F4" s="11" t="s">
        <v>5</v>
      </c>
      <c r="G4" s="11" t="s">
        <v>6</v>
      </c>
      <c r="H4" s="11" t="s">
        <v>7</v>
      </c>
      <c r="I4" s="11" t="s">
        <v>29</v>
      </c>
      <c r="J4" s="10"/>
      <c r="K4" s="34"/>
      <c r="L4" s="29" t="s">
        <v>10</v>
      </c>
      <c r="M4" s="11" t="s">
        <v>11</v>
      </c>
      <c r="N4" s="11" t="s">
        <v>13</v>
      </c>
      <c r="O4" s="11" t="s">
        <v>15</v>
      </c>
      <c r="P4" s="11" t="s">
        <v>16</v>
      </c>
      <c r="Q4" s="11" t="s">
        <v>17</v>
      </c>
      <c r="R4" s="11" t="s">
        <v>18</v>
      </c>
      <c r="S4" s="11" t="s">
        <v>19</v>
      </c>
      <c r="T4" s="11" t="s">
        <v>20</v>
      </c>
      <c r="U4" s="11" t="s">
        <v>143</v>
      </c>
      <c r="V4" s="35" t="s">
        <v>21</v>
      </c>
      <c r="X4" s="174" t="s">
        <v>151</v>
      </c>
      <c r="Y4" s="174" t="s">
        <v>152</v>
      </c>
      <c r="Z4" s="174" t="s">
        <v>153</v>
      </c>
      <c r="AA4" s="174" t="s">
        <v>154</v>
      </c>
      <c r="AB4" s="174" t="s">
        <v>155</v>
      </c>
      <c r="AC4" s="174" t="s">
        <v>150</v>
      </c>
      <c r="AD4" s="184" t="s">
        <v>156</v>
      </c>
      <c r="AE4" s="256" t="s">
        <v>30</v>
      </c>
    </row>
    <row r="5" spans="1:31" x14ac:dyDescent="0.25">
      <c r="A5" s="24"/>
      <c r="B5" s="21" t="s">
        <v>3</v>
      </c>
      <c r="C5" s="255" t="s">
        <v>4</v>
      </c>
      <c r="D5" s="10"/>
      <c r="E5" s="10"/>
      <c r="F5" s="14">
        <v>6.25E-2</v>
      </c>
      <c r="G5" s="15">
        <f>(F5/12)</f>
        <v>5.208333333333333E-3</v>
      </c>
      <c r="H5" s="16">
        <v>0.22</v>
      </c>
      <c r="I5" s="258">
        <f>H5/G5^0.5</f>
        <v>3.0484094213212241</v>
      </c>
      <c r="J5" s="44" t="s">
        <v>30</v>
      </c>
      <c r="K5" s="34"/>
      <c r="L5" s="10"/>
      <c r="M5" s="11" t="s">
        <v>12</v>
      </c>
      <c r="N5" s="11" t="s">
        <v>12</v>
      </c>
      <c r="O5" s="11" t="s">
        <v>12</v>
      </c>
      <c r="P5" s="11" t="s">
        <v>12</v>
      </c>
      <c r="Q5" s="11" t="s">
        <v>12</v>
      </c>
      <c r="R5" s="11" t="s">
        <v>12</v>
      </c>
      <c r="S5" s="11" t="s">
        <v>12</v>
      </c>
      <c r="T5" s="11" t="s">
        <v>12</v>
      </c>
      <c r="U5" s="11" t="s">
        <v>12</v>
      </c>
      <c r="V5" s="35" t="s">
        <v>12</v>
      </c>
      <c r="X5" s="7">
        <v>5</v>
      </c>
      <c r="Y5" s="7">
        <v>4.75</v>
      </c>
      <c r="Z5" s="101">
        <f>0.75*X5*(Y5-0.5)/144</f>
        <v>0.11067708333333333</v>
      </c>
      <c r="AA5" s="101">
        <f>(2.33*(Y5-0.5)+0.6*X5)/12</f>
        <v>1.0752083333333333</v>
      </c>
      <c r="AB5" s="101">
        <f>Z5/AA5</f>
        <v>0.10293547762061615</v>
      </c>
      <c r="AC5" s="7">
        <v>1.2E-2</v>
      </c>
      <c r="AD5" s="186">
        <f>(1.486*Z5*AB5^0.667)/AC5</f>
        <v>3.0079885590899011</v>
      </c>
      <c r="AE5" s="257">
        <v>3.0447287078978627</v>
      </c>
    </row>
    <row r="6" spans="1:31" x14ac:dyDescent="0.25">
      <c r="A6" s="24"/>
      <c r="B6" s="21"/>
      <c r="C6" s="10"/>
      <c r="D6" s="10"/>
      <c r="E6" s="10"/>
      <c r="F6" s="14">
        <v>0.125</v>
      </c>
      <c r="G6" s="15">
        <f>(F6/12)</f>
        <v>1.0416666666666666E-2</v>
      </c>
      <c r="H6" s="16">
        <v>0.31</v>
      </c>
      <c r="I6" s="258">
        <f>H6/G6^0.5</f>
        <v>3.0373672810511407</v>
      </c>
      <c r="J6" s="30">
        <f>(I5+I6+I7)/3</f>
        <v>3.0447287078978627</v>
      </c>
      <c r="K6" s="34"/>
      <c r="L6" s="10"/>
      <c r="M6" s="11">
        <v>0.15</v>
      </c>
      <c r="N6" s="11" t="s">
        <v>14</v>
      </c>
      <c r="O6" s="11">
        <v>0.13</v>
      </c>
      <c r="P6" s="11" t="s">
        <v>14</v>
      </c>
      <c r="Q6" s="11">
        <v>0.13</v>
      </c>
      <c r="R6" s="11" t="s">
        <v>14</v>
      </c>
      <c r="S6" s="11">
        <v>0.17</v>
      </c>
      <c r="T6" s="11" t="s">
        <v>14</v>
      </c>
      <c r="U6" s="11">
        <v>0.13</v>
      </c>
      <c r="V6" s="35">
        <v>0.26</v>
      </c>
      <c r="X6" s="7"/>
      <c r="Y6" s="7"/>
      <c r="Z6" s="7"/>
      <c r="AA6" s="101"/>
      <c r="AB6" s="7"/>
      <c r="AC6" s="7"/>
      <c r="AD6" s="185"/>
    </row>
    <row r="7" spans="1:31" x14ac:dyDescent="0.25">
      <c r="A7" s="24"/>
      <c r="B7" s="21"/>
      <c r="C7" s="10"/>
      <c r="D7" s="10"/>
      <c r="E7" s="10"/>
      <c r="F7" s="14">
        <v>0.25</v>
      </c>
      <c r="G7" s="15">
        <f>(F7/12)</f>
        <v>2.0833333333333332E-2</v>
      </c>
      <c r="H7" s="16">
        <v>0.44</v>
      </c>
      <c r="I7" s="258">
        <f>H7/G7^0.5</f>
        <v>3.0484094213212241</v>
      </c>
      <c r="J7" s="16"/>
      <c r="K7" s="34"/>
      <c r="L7" s="10"/>
      <c r="M7" s="16" t="s">
        <v>35</v>
      </c>
      <c r="N7" s="10"/>
      <c r="O7" s="16" t="s">
        <v>36</v>
      </c>
      <c r="P7" s="10"/>
      <c r="Q7" s="16" t="s">
        <v>37</v>
      </c>
      <c r="R7" s="10"/>
      <c r="S7" s="16" t="s">
        <v>39</v>
      </c>
      <c r="T7" s="10"/>
      <c r="U7" s="16" t="s">
        <v>38</v>
      </c>
      <c r="V7" s="48" t="s">
        <v>40</v>
      </c>
      <c r="X7" s="7"/>
      <c r="Y7" s="7"/>
      <c r="Z7" s="7"/>
      <c r="AA7" s="101"/>
      <c r="AB7" s="7"/>
      <c r="AC7" s="7"/>
      <c r="AD7" s="185"/>
      <c r="AE7" s="182"/>
    </row>
    <row r="8" spans="1:31" x14ac:dyDescent="0.25">
      <c r="A8" s="24"/>
      <c r="B8" s="21"/>
      <c r="C8" s="10"/>
      <c r="D8" s="10"/>
      <c r="E8" s="10"/>
      <c r="F8" s="14"/>
      <c r="G8" s="10"/>
      <c r="H8" s="10"/>
      <c r="I8" s="10"/>
      <c r="J8" s="36"/>
      <c r="L8" s="10"/>
      <c r="M8" s="11"/>
      <c r="N8" s="10"/>
      <c r="O8" s="10"/>
      <c r="P8" s="10"/>
      <c r="Q8" s="10"/>
      <c r="R8" s="10"/>
      <c r="S8" s="10"/>
      <c r="T8" s="10"/>
      <c r="U8" s="10"/>
      <c r="V8" s="36"/>
      <c r="X8" s="7"/>
      <c r="Y8" s="7"/>
      <c r="Z8" s="7"/>
      <c r="AA8" s="101"/>
      <c r="AB8" s="7"/>
      <c r="AC8" s="7"/>
      <c r="AD8" s="185"/>
      <c r="AE8" s="182"/>
    </row>
    <row r="9" spans="1:31" x14ac:dyDescent="0.25">
      <c r="A9" s="24"/>
      <c r="B9" s="21" t="s">
        <v>2</v>
      </c>
      <c r="C9" s="254">
        <v>6</v>
      </c>
      <c r="D9" s="10"/>
      <c r="E9" s="10"/>
      <c r="F9" s="11" t="s">
        <v>5</v>
      </c>
      <c r="G9" s="11" t="s">
        <v>6</v>
      </c>
      <c r="H9" s="11" t="s">
        <v>7</v>
      </c>
      <c r="I9" s="11" t="s">
        <v>29</v>
      </c>
      <c r="J9" s="11"/>
      <c r="K9" s="34"/>
      <c r="L9" s="10"/>
      <c r="M9" s="11"/>
      <c r="N9" s="10"/>
      <c r="O9" s="10"/>
      <c r="P9" s="10"/>
      <c r="Q9" s="10"/>
      <c r="R9" s="10"/>
      <c r="S9" s="10"/>
      <c r="T9" s="10"/>
      <c r="U9" s="10"/>
      <c r="V9" s="36"/>
      <c r="X9" s="7"/>
      <c r="Y9" s="7"/>
      <c r="Z9" s="7"/>
      <c r="AA9" s="101"/>
      <c r="AB9" s="7"/>
      <c r="AC9" s="7"/>
      <c r="AD9" s="185"/>
      <c r="AE9" s="182"/>
    </row>
    <row r="10" spans="1:31" x14ac:dyDescent="0.25">
      <c r="A10" s="24"/>
      <c r="B10" s="21" t="s">
        <v>3</v>
      </c>
      <c r="C10" s="255" t="s">
        <v>4</v>
      </c>
      <c r="D10" s="10"/>
      <c r="E10" s="10"/>
      <c r="F10" s="14">
        <v>6.25E-2</v>
      </c>
      <c r="G10" s="15">
        <f>(F10/12)</f>
        <v>5.208333333333333E-3</v>
      </c>
      <c r="H10" s="16">
        <v>0.34</v>
      </c>
      <c r="I10" s="258">
        <f>H10/G10^0.5</f>
        <v>4.7111781965873467</v>
      </c>
      <c r="J10" s="44" t="s">
        <v>30</v>
      </c>
      <c r="K10" s="34"/>
      <c r="L10" s="29" t="s">
        <v>10</v>
      </c>
      <c r="M10" s="11" t="s">
        <v>11</v>
      </c>
      <c r="N10" s="11" t="s">
        <v>13</v>
      </c>
      <c r="O10" s="11" t="s">
        <v>15</v>
      </c>
      <c r="P10" s="11" t="s">
        <v>16</v>
      </c>
      <c r="Q10" s="11" t="s">
        <v>17</v>
      </c>
      <c r="R10" s="11" t="s">
        <v>18</v>
      </c>
      <c r="S10" s="11" t="s">
        <v>19</v>
      </c>
      <c r="T10" s="11" t="s">
        <v>20</v>
      </c>
      <c r="U10" s="11" t="s">
        <v>21</v>
      </c>
      <c r="V10" s="35" t="s">
        <v>22</v>
      </c>
      <c r="X10" s="7"/>
      <c r="Y10" s="7"/>
      <c r="Z10" s="7"/>
      <c r="AA10" s="101"/>
      <c r="AB10" s="7"/>
      <c r="AC10" s="7"/>
      <c r="AD10" s="185"/>
      <c r="AE10" s="256" t="s">
        <v>30</v>
      </c>
    </row>
    <row r="11" spans="1:31" x14ac:dyDescent="0.25">
      <c r="A11" s="24"/>
      <c r="B11" s="21"/>
      <c r="C11" s="10"/>
      <c r="D11" s="10"/>
      <c r="E11" s="10"/>
      <c r="F11" s="14">
        <v>0.125</v>
      </c>
      <c r="G11" s="15">
        <f>(F11/12)</f>
        <v>1.0416666666666666E-2</v>
      </c>
      <c r="H11" s="16">
        <v>0.48</v>
      </c>
      <c r="I11" s="258">
        <f>H11/G11^0.5</f>
        <v>4.7030203061437019</v>
      </c>
      <c r="J11" s="30">
        <f>(I10+I11+I12)/3</f>
        <v>4.7084588997727979</v>
      </c>
      <c r="K11" s="34"/>
      <c r="L11" s="10"/>
      <c r="M11" s="11" t="s">
        <v>12</v>
      </c>
      <c r="N11" s="11" t="s">
        <v>12</v>
      </c>
      <c r="O11" s="11" t="s">
        <v>12</v>
      </c>
      <c r="P11" s="11" t="s">
        <v>12</v>
      </c>
      <c r="Q11" s="11" t="s">
        <v>12</v>
      </c>
      <c r="R11" s="11" t="s">
        <v>12</v>
      </c>
      <c r="S11" s="11" t="s">
        <v>12</v>
      </c>
      <c r="T11" s="11" t="s">
        <v>12</v>
      </c>
      <c r="U11" s="11" t="s">
        <v>12</v>
      </c>
      <c r="V11" s="35" t="s">
        <v>12</v>
      </c>
      <c r="X11" s="7">
        <v>6</v>
      </c>
      <c r="Y11" s="7">
        <v>5.25</v>
      </c>
      <c r="Z11" s="101">
        <f>0.75*X11*(Y11-0.5)/144</f>
        <v>0.1484375</v>
      </c>
      <c r="AA11" s="101">
        <f>(2.33*(Y11-0.5)+0.6*X11)/12</f>
        <v>1.2222916666666668</v>
      </c>
      <c r="AB11" s="101">
        <f>Z11/AA11</f>
        <v>0.12144196352479972</v>
      </c>
      <c r="AC11" s="7">
        <v>1.2E-2</v>
      </c>
      <c r="AD11" s="186">
        <f>(1.486*Z11*AB11^0.667)/AC11</f>
        <v>4.5045889925597775</v>
      </c>
      <c r="AE11" s="257">
        <v>4.7084588997727979</v>
      </c>
    </row>
    <row r="12" spans="1:31" x14ac:dyDescent="0.25">
      <c r="A12" s="24"/>
      <c r="B12" s="21"/>
      <c r="C12" s="10"/>
      <c r="D12" s="10"/>
      <c r="E12" s="10"/>
      <c r="F12" s="14">
        <v>0.25</v>
      </c>
      <c r="G12" s="15">
        <f>(F12/12)</f>
        <v>2.0833333333333332E-2</v>
      </c>
      <c r="H12" s="16">
        <v>0.68</v>
      </c>
      <c r="I12" s="258">
        <f>H12/G12^0.5</f>
        <v>4.7111781965873467</v>
      </c>
      <c r="J12" s="16"/>
      <c r="K12" s="34"/>
      <c r="L12" s="10"/>
      <c r="M12" s="11">
        <v>0.16</v>
      </c>
      <c r="N12" s="11">
        <v>0.28999999999999998</v>
      </c>
      <c r="O12" s="11">
        <v>0.14000000000000001</v>
      </c>
      <c r="P12" s="11">
        <v>0.25</v>
      </c>
      <c r="Q12" s="11">
        <v>0.14000000000000001</v>
      </c>
      <c r="R12" s="11">
        <v>0.26</v>
      </c>
      <c r="S12" s="11">
        <v>0.18</v>
      </c>
      <c r="T12" s="11">
        <v>0.27</v>
      </c>
      <c r="U12" s="11">
        <v>0.27</v>
      </c>
      <c r="V12" s="35">
        <v>0.46</v>
      </c>
      <c r="X12" s="7"/>
      <c r="Y12" s="7"/>
      <c r="Z12" s="7"/>
      <c r="AA12" s="101"/>
      <c r="AB12" s="7"/>
      <c r="AC12" s="7"/>
      <c r="AD12" s="186"/>
      <c r="AE12" s="183"/>
    </row>
    <row r="13" spans="1:31" x14ac:dyDescent="0.25">
      <c r="A13" s="24"/>
      <c r="B13" s="21"/>
      <c r="C13" s="10"/>
      <c r="D13" s="10"/>
      <c r="E13" s="10"/>
      <c r="F13" s="14"/>
      <c r="G13" s="15"/>
      <c r="H13" s="16"/>
      <c r="I13" s="17"/>
      <c r="J13" s="16"/>
      <c r="K13" s="34"/>
      <c r="L13" s="47"/>
      <c r="M13" s="16" t="s">
        <v>44</v>
      </c>
      <c r="N13" s="16" t="s">
        <v>45</v>
      </c>
      <c r="O13" s="16" t="s">
        <v>46</v>
      </c>
      <c r="P13" s="16" t="s">
        <v>47</v>
      </c>
      <c r="Q13" s="16" t="s">
        <v>48</v>
      </c>
      <c r="R13" s="16" t="s">
        <v>49</v>
      </c>
      <c r="S13" s="16" t="s">
        <v>50</v>
      </c>
      <c r="T13" s="16" t="s">
        <v>51</v>
      </c>
      <c r="U13" s="16" t="s">
        <v>52</v>
      </c>
      <c r="V13" s="48" t="s">
        <v>53</v>
      </c>
      <c r="X13" s="7"/>
      <c r="Y13" s="7"/>
      <c r="Z13" s="7"/>
      <c r="AA13" s="101"/>
      <c r="AB13" s="7"/>
      <c r="AC13" s="7"/>
      <c r="AD13" s="186"/>
      <c r="AE13" s="183"/>
    </row>
    <row r="14" spans="1:31" x14ac:dyDescent="0.25">
      <c r="A14" s="24"/>
      <c r="B14" s="21"/>
      <c r="C14" s="10"/>
      <c r="D14" s="10"/>
      <c r="E14" s="10"/>
      <c r="F14" s="11"/>
      <c r="G14" s="10"/>
      <c r="H14" s="10"/>
      <c r="I14" s="10"/>
      <c r="J14" s="10"/>
      <c r="K14" s="34"/>
      <c r="L14" s="10"/>
      <c r="M14" s="11"/>
      <c r="N14" s="10"/>
      <c r="O14" s="10"/>
      <c r="P14" s="10"/>
      <c r="Q14" s="10"/>
      <c r="R14" s="10"/>
      <c r="S14" s="10"/>
      <c r="T14" s="10"/>
      <c r="U14" s="10"/>
      <c r="V14" s="36"/>
      <c r="X14" s="7"/>
      <c r="Y14" s="7"/>
      <c r="Z14" s="7"/>
      <c r="AA14" s="101"/>
      <c r="AB14" s="7"/>
      <c r="AC14" s="7"/>
      <c r="AD14" s="186"/>
      <c r="AE14" s="183"/>
    </row>
    <row r="15" spans="1:31" x14ac:dyDescent="0.25">
      <c r="A15" s="24"/>
      <c r="B15" s="21" t="s">
        <v>2</v>
      </c>
      <c r="C15" s="254">
        <v>7</v>
      </c>
      <c r="D15" s="10"/>
      <c r="E15" s="10"/>
      <c r="F15" s="11" t="s">
        <v>5</v>
      </c>
      <c r="G15" s="11" t="s">
        <v>6</v>
      </c>
      <c r="H15" s="11" t="s">
        <v>7</v>
      </c>
      <c r="I15" s="11" t="s">
        <v>29</v>
      </c>
      <c r="J15" s="11"/>
      <c r="K15" s="34"/>
      <c r="L15" s="10"/>
      <c r="M15" s="11"/>
      <c r="N15" s="10"/>
      <c r="O15" s="10"/>
      <c r="P15" s="10"/>
      <c r="Q15" s="10"/>
      <c r="R15" s="10"/>
      <c r="S15" s="10"/>
      <c r="T15" s="10"/>
      <c r="U15" s="10"/>
      <c r="V15" s="36"/>
      <c r="X15" s="7"/>
      <c r="Y15" s="7"/>
      <c r="Z15" s="7"/>
      <c r="AA15" s="101"/>
      <c r="AB15" s="7"/>
      <c r="AC15" s="7"/>
      <c r="AD15" s="186"/>
      <c r="AE15" s="183"/>
    </row>
    <row r="16" spans="1:31" x14ac:dyDescent="0.25">
      <c r="A16" s="24"/>
      <c r="B16" s="21" t="s">
        <v>3</v>
      </c>
      <c r="C16" s="255" t="s">
        <v>4</v>
      </c>
      <c r="D16" s="10"/>
      <c r="E16" s="10"/>
      <c r="F16" s="14">
        <v>6.25E-2</v>
      </c>
      <c r="G16" s="15">
        <f>(F16/12)</f>
        <v>5.208333333333333E-3</v>
      </c>
      <c r="H16" s="16">
        <v>0.59</v>
      </c>
      <c r="I16" s="258">
        <f>H16/G16^0.5</f>
        <v>8.1752798117251011</v>
      </c>
      <c r="J16" s="44" t="s">
        <v>30</v>
      </c>
      <c r="K16" s="34"/>
      <c r="L16" s="29" t="s">
        <v>10</v>
      </c>
      <c r="M16" s="11" t="s">
        <v>13</v>
      </c>
      <c r="N16" s="11" t="s">
        <v>23</v>
      </c>
      <c r="O16" s="11" t="s">
        <v>16</v>
      </c>
      <c r="P16" s="11" t="s">
        <v>24</v>
      </c>
      <c r="Q16" s="11" t="s">
        <v>18</v>
      </c>
      <c r="R16" s="11" t="s">
        <v>25</v>
      </c>
      <c r="S16" s="11" t="s">
        <v>20</v>
      </c>
      <c r="T16" s="11" t="s">
        <v>26</v>
      </c>
      <c r="U16" s="11" t="s">
        <v>22</v>
      </c>
      <c r="V16" s="35" t="s">
        <v>27</v>
      </c>
      <c r="X16" s="7"/>
      <c r="Y16" s="7"/>
      <c r="Z16" s="7"/>
      <c r="AA16" s="101"/>
      <c r="AB16" s="7"/>
      <c r="AC16" s="7"/>
      <c r="AD16" s="186"/>
      <c r="AE16" s="257" t="s">
        <v>30</v>
      </c>
    </row>
    <row r="17" spans="1:31" x14ac:dyDescent="0.25">
      <c r="A17" s="24"/>
      <c r="B17" s="21"/>
      <c r="C17" s="10"/>
      <c r="D17" s="10"/>
      <c r="E17" s="10"/>
      <c r="F17" s="14">
        <v>0.125</v>
      </c>
      <c r="G17" s="15">
        <f>(F17/12)</f>
        <v>1.0416666666666666E-2</v>
      </c>
      <c r="H17" s="16">
        <v>0.83</v>
      </c>
      <c r="I17" s="258">
        <f>H17/G17^0.5</f>
        <v>8.1323059460401517</v>
      </c>
      <c r="J17" s="30">
        <f>(I16+I17+I18)/3</f>
        <v>8.1378611790625328</v>
      </c>
      <c r="K17" s="34"/>
      <c r="L17" s="10"/>
      <c r="M17" s="11" t="s">
        <v>12</v>
      </c>
      <c r="N17" s="11" t="s">
        <v>12</v>
      </c>
      <c r="O17" s="11" t="s">
        <v>12</v>
      </c>
      <c r="P17" s="11" t="s">
        <v>12</v>
      </c>
      <c r="Q17" s="11" t="s">
        <v>12</v>
      </c>
      <c r="R17" s="11" t="s">
        <v>12</v>
      </c>
      <c r="S17" s="11" t="s">
        <v>12</v>
      </c>
      <c r="T17" s="11" t="s">
        <v>12</v>
      </c>
      <c r="U17" s="11" t="s">
        <v>12</v>
      </c>
      <c r="V17" s="35" t="s">
        <v>12</v>
      </c>
      <c r="X17" s="7">
        <v>7</v>
      </c>
      <c r="Y17" s="7">
        <v>6.5</v>
      </c>
      <c r="Z17" s="101">
        <f>0.75*X17*(Y17-0.5)/144</f>
        <v>0.21875</v>
      </c>
      <c r="AA17" s="101">
        <f>(2.33*(Y17-0.5)+0.6*X17)/12</f>
        <v>1.5149999999999999</v>
      </c>
      <c r="AB17" s="101">
        <f>Z17/AA17</f>
        <v>0.14438943894389439</v>
      </c>
      <c r="AC17" s="7">
        <v>1.2E-2</v>
      </c>
      <c r="AD17" s="186">
        <f>(1.486*Z17*AB17^0.667)/AC17</f>
        <v>7.4506773387414809</v>
      </c>
      <c r="AE17" s="257">
        <v>8.1378611790625328</v>
      </c>
    </row>
    <row r="18" spans="1:31" ht="13.8" thickBot="1" x14ac:dyDescent="0.3">
      <c r="A18" s="25"/>
      <c r="B18" s="22"/>
      <c r="C18" s="18"/>
      <c r="D18" s="18"/>
      <c r="E18" s="18"/>
      <c r="F18" s="26">
        <v>0.25</v>
      </c>
      <c r="G18" s="27">
        <f>(F18/12)</f>
        <v>2.0833333333333332E-2</v>
      </c>
      <c r="H18" s="28">
        <v>1.17</v>
      </c>
      <c r="I18" s="259">
        <f>H18/G18^0.5</f>
        <v>8.1059977794223457</v>
      </c>
      <c r="J18" s="28"/>
      <c r="K18" s="37"/>
      <c r="L18" s="38"/>
      <c r="M18" s="39">
        <v>0.32</v>
      </c>
      <c r="N18" s="39">
        <v>0.5</v>
      </c>
      <c r="O18" s="39">
        <v>0.28000000000000003</v>
      </c>
      <c r="P18" s="39">
        <v>0.45</v>
      </c>
      <c r="Q18" s="39">
        <v>0.28000000000000003</v>
      </c>
      <c r="R18" s="39">
        <v>0.45</v>
      </c>
      <c r="S18" s="39">
        <v>0.3</v>
      </c>
      <c r="T18" s="39">
        <v>0.48</v>
      </c>
      <c r="U18" s="39">
        <v>0.51</v>
      </c>
      <c r="V18" s="40">
        <v>0.74</v>
      </c>
      <c r="X18" s="7"/>
      <c r="Y18" s="7"/>
      <c r="Z18" s="7"/>
      <c r="AA18" s="101"/>
      <c r="AB18" s="7"/>
      <c r="AC18" s="7"/>
      <c r="AD18" s="186"/>
      <c r="AE18" s="7"/>
    </row>
    <row r="19" spans="1:31" ht="13.8" thickTop="1" x14ac:dyDescent="0.25">
      <c r="M19" s="54" t="s">
        <v>54</v>
      </c>
      <c r="N19" s="54" t="s">
        <v>55</v>
      </c>
      <c r="O19" s="54" t="s">
        <v>56</v>
      </c>
      <c r="P19" s="54" t="s">
        <v>57</v>
      </c>
      <c r="Q19" s="54" t="s">
        <v>58</v>
      </c>
      <c r="R19" s="54" t="s">
        <v>59</v>
      </c>
      <c r="S19" s="54" t="s">
        <v>60</v>
      </c>
      <c r="T19" s="54" t="s">
        <v>61</v>
      </c>
      <c r="U19" s="54" t="s">
        <v>62</v>
      </c>
      <c r="V19" s="54" t="s">
        <v>63</v>
      </c>
      <c r="X19" s="7"/>
      <c r="Y19" s="7"/>
      <c r="Z19" s="7"/>
      <c r="AA19" s="101"/>
      <c r="AB19" s="7"/>
      <c r="AC19" s="7"/>
      <c r="AD19" s="186"/>
      <c r="AE19" s="7"/>
    </row>
    <row r="20" spans="1:31" ht="13.8" thickBot="1" x14ac:dyDescent="0.3">
      <c r="M20" s="7"/>
      <c r="X20" s="7"/>
      <c r="Y20" s="7"/>
      <c r="Z20" s="7"/>
      <c r="AA20" s="101"/>
      <c r="AB20" s="7"/>
      <c r="AC20" s="7"/>
      <c r="AD20" s="186"/>
      <c r="AE20" s="7"/>
    </row>
    <row r="21" spans="1:31" ht="13.8" thickTop="1" x14ac:dyDescent="0.25">
      <c r="A21" s="23"/>
      <c r="B21" s="20" t="s">
        <v>2</v>
      </c>
      <c r="C21" s="260">
        <v>5</v>
      </c>
      <c r="D21" s="8"/>
      <c r="E21" s="8"/>
      <c r="F21" s="9" t="s">
        <v>5</v>
      </c>
      <c r="G21" s="9" t="s">
        <v>6</v>
      </c>
      <c r="H21" s="9" t="s">
        <v>7</v>
      </c>
      <c r="I21" s="9" t="s">
        <v>29</v>
      </c>
      <c r="J21" s="9"/>
      <c r="K21" s="31"/>
      <c r="L21" s="32"/>
      <c r="M21" s="41"/>
      <c r="N21" s="32"/>
      <c r="O21" s="32"/>
      <c r="P21" s="32"/>
      <c r="Q21" s="32"/>
      <c r="R21" s="32"/>
      <c r="S21" s="32"/>
      <c r="T21" s="32"/>
      <c r="U21" s="32"/>
      <c r="V21" s="33"/>
      <c r="X21" s="7"/>
      <c r="Y21" s="7"/>
      <c r="Z21" s="7"/>
      <c r="AA21" s="101"/>
      <c r="AB21" s="7"/>
      <c r="AC21" s="7"/>
      <c r="AD21" s="186"/>
      <c r="AE21" s="7"/>
    </row>
    <row r="22" spans="1:31" x14ac:dyDescent="0.25">
      <c r="A22" s="24"/>
      <c r="B22" s="21" t="s">
        <v>3</v>
      </c>
      <c r="C22" s="13" t="s">
        <v>8</v>
      </c>
      <c r="D22" s="13"/>
      <c r="E22" s="10"/>
      <c r="F22" s="14">
        <v>6.25E-2</v>
      </c>
      <c r="G22" s="15">
        <f>(F22/12)</f>
        <v>5.208333333333333E-3</v>
      </c>
      <c r="H22" s="263">
        <v>0.18</v>
      </c>
      <c r="I22" s="261">
        <f>H22/G22^0.5</f>
        <v>2.4941531628991833</v>
      </c>
      <c r="J22" s="44" t="s">
        <v>30</v>
      </c>
      <c r="K22" s="34"/>
      <c r="L22" s="29" t="s">
        <v>10</v>
      </c>
      <c r="M22" s="11" t="s">
        <v>11</v>
      </c>
      <c r="N22" s="11" t="s">
        <v>13</v>
      </c>
      <c r="O22" s="11" t="s">
        <v>15</v>
      </c>
      <c r="P22" s="11" t="s">
        <v>16</v>
      </c>
      <c r="Q22" s="11" t="s">
        <v>17</v>
      </c>
      <c r="R22" s="11" t="s">
        <v>18</v>
      </c>
      <c r="S22" s="11" t="s">
        <v>19</v>
      </c>
      <c r="T22" s="11" t="s">
        <v>20</v>
      </c>
      <c r="U22" s="11" t="s">
        <v>143</v>
      </c>
      <c r="V22" s="35" t="s">
        <v>21</v>
      </c>
      <c r="X22" s="7"/>
      <c r="Y22" s="7"/>
      <c r="Z22" s="7"/>
      <c r="AA22" s="101"/>
      <c r="AB22" s="7"/>
      <c r="AC22" s="7"/>
      <c r="AD22" s="186"/>
      <c r="AE22" s="256" t="s">
        <v>30</v>
      </c>
    </row>
    <row r="23" spans="1:31" x14ac:dyDescent="0.25">
      <c r="A23" s="24"/>
      <c r="B23" s="21"/>
      <c r="C23" s="10"/>
      <c r="D23" s="10"/>
      <c r="E23" s="10"/>
      <c r="F23" s="14">
        <v>0.125</v>
      </c>
      <c r="G23" s="15">
        <f>(F23/12)</f>
        <v>1.0416666666666666E-2</v>
      </c>
      <c r="H23" s="263">
        <v>0.25</v>
      </c>
      <c r="I23" s="261">
        <f>H23/G23^0.5</f>
        <v>2.4494897427831779</v>
      </c>
      <c r="J23" s="30">
        <f>(I22+I23+I24)/3</f>
        <v>2.4561713454262635</v>
      </c>
      <c r="K23" s="34"/>
      <c r="L23" s="10"/>
      <c r="M23" s="11" t="s">
        <v>12</v>
      </c>
      <c r="N23" s="11" t="s">
        <v>12</v>
      </c>
      <c r="O23" s="11" t="s">
        <v>12</v>
      </c>
      <c r="P23" s="11" t="s">
        <v>12</v>
      </c>
      <c r="Q23" s="11" t="s">
        <v>12</v>
      </c>
      <c r="R23" s="11" t="s">
        <v>12</v>
      </c>
      <c r="S23" s="11" t="s">
        <v>12</v>
      </c>
      <c r="T23" s="11" t="s">
        <v>12</v>
      </c>
      <c r="U23" s="11" t="s">
        <v>12</v>
      </c>
      <c r="V23" s="35" t="s">
        <v>12</v>
      </c>
      <c r="X23" s="7">
        <v>5</v>
      </c>
      <c r="Y23" s="7">
        <v>3.5</v>
      </c>
      <c r="Z23" s="101">
        <f>0.8*X23*(Y23-0.5)/144</f>
        <v>8.3333333333333329E-2</v>
      </c>
      <c r="AA23" s="101">
        <f>(2.33*(Y23-0.5)+0.6*X23)/12</f>
        <v>0.83250000000000002</v>
      </c>
      <c r="AB23" s="101">
        <f>Z23/AA23</f>
        <v>0.10010010010010009</v>
      </c>
      <c r="AC23" s="7">
        <v>1.2E-2</v>
      </c>
      <c r="AD23" s="186">
        <f>(1.486*Z23*AB23^0.667)/AC23</f>
        <v>2.223034162026293</v>
      </c>
      <c r="AE23" s="257">
        <v>1.8907079937222486</v>
      </c>
    </row>
    <row r="24" spans="1:31" x14ac:dyDescent="0.25">
      <c r="A24" s="24"/>
      <c r="B24" s="21"/>
      <c r="C24" s="10"/>
      <c r="D24" s="10"/>
      <c r="E24" s="10"/>
      <c r="F24" s="14">
        <v>0.25</v>
      </c>
      <c r="G24" s="15">
        <f>(F24/12)</f>
        <v>2.0833333333333332E-2</v>
      </c>
      <c r="H24" s="263">
        <v>0.35</v>
      </c>
      <c r="I24" s="261">
        <f>H24/G24^0.5</f>
        <v>2.4248711305964283</v>
      </c>
      <c r="J24" s="16"/>
      <c r="K24" s="34"/>
      <c r="L24" s="10"/>
      <c r="M24" s="11">
        <v>0.13</v>
      </c>
      <c r="N24" s="11" t="s">
        <v>14</v>
      </c>
      <c r="O24" s="11">
        <v>0.11</v>
      </c>
      <c r="P24" s="11" t="s">
        <v>14</v>
      </c>
      <c r="Q24" s="11">
        <v>0.13</v>
      </c>
      <c r="R24" s="11" t="s">
        <v>14</v>
      </c>
      <c r="S24" s="11">
        <v>0.14000000000000001</v>
      </c>
      <c r="T24" s="11" t="s">
        <v>14</v>
      </c>
      <c r="U24" s="11">
        <v>0.11</v>
      </c>
      <c r="V24" s="35">
        <v>0.22</v>
      </c>
      <c r="X24" s="7"/>
      <c r="Y24" s="7"/>
      <c r="Z24" s="7"/>
      <c r="AA24" s="101"/>
      <c r="AB24" s="7"/>
      <c r="AC24" s="7"/>
      <c r="AD24" s="186"/>
      <c r="AE24" s="183"/>
    </row>
    <row r="25" spans="1:31" x14ac:dyDescent="0.25">
      <c r="A25" s="24"/>
      <c r="B25" s="21"/>
      <c r="C25" s="10"/>
      <c r="D25" s="10"/>
      <c r="E25" s="10"/>
      <c r="F25" s="14"/>
      <c r="G25" s="15"/>
      <c r="H25" s="197"/>
      <c r="I25" s="198"/>
      <c r="J25" s="16"/>
      <c r="K25" s="34"/>
      <c r="L25" s="10"/>
      <c r="M25" s="16" t="s">
        <v>64</v>
      </c>
      <c r="N25" s="16"/>
      <c r="O25" s="16" t="s">
        <v>65</v>
      </c>
      <c r="P25" s="16"/>
      <c r="Q25" s="16" t="s">
        <v>66</v>
      </c>
      <c r="R25" s="16"/>
      <c r="S25" s="16" t="s">
        <v>67</v>
      </c>
      <c r="T25" s="16"/>
      <c r="U25" s="16" t="s">
        <v>68</v>
      </c>
      <c r="V25" s="48" t="s">
        <v>69</v>
      </c>
      <c r="X25" s="7"/>
      <c r="Y25" s="7"/>
      <c r="Z25" s="7"/>
      <c r="AA25" s="101"/>
      <c r="AB25" s="7"/>
      <c r="AC25" s="7"/>
      <c r="AD25" s="186"/>
      <c r="AE25" s="183"/>
    </row>
    <row r="26" spans="1:31" x14ac:dyDescent="0.25">
      <c r="A26" s="24"/>
      <c r="B26" s="21"/>
      <c r="C26" s="10"/>
      <c r="D26" s="10"/>
      <c r="E26" s="10"/>
      <c r="F26" s="11"/>
      <c r="G26" s="10"/>
      <c r="H26" s="199"/>
      <c r="I26" s="199"/>
      <c r="J26" s="10"/>
      <c r="K26" s="34"/>
      <c r="L26" s="10"/>
      <c r="M26" s="11"/>
      <c r="N26" s="10"/>
      <c r="O26" s="10"/>
      <c r="P26" s="10"/>
      <c r="Q26" s="10"/>
      <c r="R26" s="10"/>
      <c r="S26" s="10"/>
      <c r="T26" s="10"/>
      <c r="U26" s="10"/>
      <c r="V26" s="36"/>
      <c r="X26" s="7"/>
      <c r="Y26" s="7"/>
      <c r="Z26" s="7"/>
      <c r="AA26" s="101"/>
      <c r="AB26" s="7"/>
      <c r="AC26" s="7"/>
      <c r="AD26" s="186"/>
      <c r="AE26" s="183"/>
    </row>
    <row r="27" spans="1:31" x14ac:dyDescent="0.25">
      <c r="A27" s="24"/>
      <c r="B27" s="21" t="s">
        <v>2</v>
      </c>
      <c r="C27" s="254">
        <v>6</v>
      </c>
      <c r="D27" s="10"/>
      <c r="E27" s="10"/>
      <c r="F27" s="11" t="s">
        <v>5</v>
      </c>
      <c r="G27" s="11" t="s">
        <v>6</v>
      </c>
      <c r="H27" s="200" t="s">
        <v>7</v>
      </c>
      <c r="I27" s="200" t="s">
        <v>29</v>
      </c>
      <c r="J27" s="10"/>
      <c r="K27" s="34"/>
      <c r="L27" s="10"/>
      <c r="M27" s="11"/>
      <c r="N27" s="10"/>
      <c r="O27" s="10"/>
      <c r="P27" s="10"/>
      <c r="Q27" s="10"/>
      <c r="R27" s="10"/>
      <c r="S27" s="10"/>
      <c r="T27" s="10"/>
      <c r="U27" s="10"/>
      <c r="V27" s="36"/>
      <c r="X27" s="7"/>
      <c r="Y27" s="7"/>
      <c r="Z27" s="7"/>
      <c r="AA27" s="101"/>
      <c r="AB27" s="7"/>
      <c r="AC27" s="7"/>
      <c r="AD27" s="186"/>
      <c r="AE27" s="257" t="s">
        <v>30</v>
      </c>
    </row>
    <row r="28" spans="1:31" x14ac:dyDescent="0.25">
      <c r="A28" s="24"/>
      <c r="B28" s="21" t="s">
        <v>3</v>
      </c>
      <c r="C28" s="13" t="s">
        <v>8</v>
      </c>
      <c r="D28" s="13"/>
      <c r="E28" s="10"/>
      <c r="F28" s="14">
        <v>6.25E-2</v>
      </c>
      <c r="G28" s="15">
        <f>(F28/12)</f>
        <v>5.208333333333333E-3</v>
      </c>
      <c r="H28" s="263">
        <v>0.3</v>
      </c>
      <c r="I28" s="261">
        <f>H28/G28^0.5</f>
        <v>4.156921938165306</v>
      </c>
      <c r="J28" s="44" t="s">
        <v>30</v>
      </c>
      <c r="K28" s="34"/>
      <c r="L28" s="29" t="s">
        <v>10</v>
      </c>
      <c r="M28" s="11" t="s">
        <v>11</v>
      </c>
      <c r="N28" s="11" t="s">
        <v>13</v>
      </c>
      <c r="O28" s="11" t="s">
        <v>15</v>
      </c>
      <c r="P28" s="11" t="s">
        <v>16</v>
      </c>
      <c r="Q28" s="11" t="s">
        <v>17</v>
      </c>
      <c r="R28" s="11" t="s">
        <v>18</v>
      </c>
      <c r="S28" s="11" t="s">
        <v>19</v>
      </c>
      <c r="T28" s="11" t="s">
        <v>20</v>
      </c>
      <c r="U28" s="11" t="s">
        <v>143</v>
      </c>
      <c r="V28" s="35" t="s">
        <v>21</v>
      </c>
      <c r="X28" s="7">
        <v>6</v>
      </c>
      <c r="Y28" s="7">
        <v>4.75</v>
      </c>
      <c r="Z28" s="101">
        <f>0.8*X28*(Y28-0.5)/144</f>
        <v>0.14166666666666669</v>
      </c>
      <c r="AA28" s="101">
        <f>(2.33*(Y28-0.5)+0.6*X28)/12</f>
        <v>1.1252083333333334</v>
      </c>
      <c r="AB28" s="101">
        <f>Z28/AA28</f>
        <v>0.12590261062766156</v>
      </c>
      <c r="AC28" s="7">
        <v>1.2E-2</v>
      </c>
      <c r="AD28" s="186">
        <f>(1.486*Z28*AB28^0.667)/AC28</f>
        <v>4.4038083160528751</v>
      </c>
      <c r="AE28" s="257">
        <v>4.6988930473032742</v>
      </c>
    </row>
    <row r="29" spans="1:31" x14ac:dyDescent="0.25">
      <c r="A29" s="24"/>
      <c r="B29" s="21"/>
      <c r="C29" s="10"/>
      <c r="D29" s="10"/>
      <c r="E29" s="10"/>
      <c r="F29" s="14">
        <v>0.125</v>
      </c>
      <c r="G29" s="15">
        <f>(F29/12)</f>
        <v>1.0416666666666666E-2</v>
      </c>
      <c r="H29" s="263">
        <v>0.43</v>
      </c>
      <c r="I29" s="261">
        <f>H29/G29^0.5</f>
        <v>4.213122357587066</v>
      </c>
      <c r="J29" s="30">
        <f>(I28+I29+I30)/3</f>
        <v>4.1987494220734769</v>
      </c>
      <c r="K29" s="34"/>
      <c r="L29" s="10"/>
      <c r="M29" s="11" t="s">
        <v>12</v>
      </c>
      <c r="N29" s="11" t="s">
        <v>12</v>
      </c>
      <c r="O29" s="11" t="s">
        <v>12</v>
      </c>
      <c r="P29" s="11" t="s">
        <v>12</v>
      </c>
      <c r="Q29" s="11" t="s">
        <v>12</v>
      </c>
      <c r="R29" s="11" t="s">
        <v>12</v>
      </c>
      <c r="S29" s="11" t="s">
        <v>12</v>
      </c>
      <c r="T29" s="11" t="s">
        <v>12</v>
      </c>
      <c r="U29" s="11" t="s">
        <v>12</v>
      </c>
      <c r="V29" s="35" t="s">
        <v>12</v>
      </c>
      <c r="X29" s="7"/>
      <c r="Y29" s="7"/>
      <c r="Z29" s="7"/>
      <c r="AA29" s="101"/>
      <c r="AB29" s="7"/>
      <c r="AC29" s="7"/>
      <c r="AE29" s="183"/>
    </row>
    <row r="30" spans="1:31" ht="13.8" thickBot="1" x14ac:dyDescent="0.3">
      <c r="A30" s="25"/>
      <c r="B30" s="22"/>
      <c r="C30" s="18"/>
      <c r="D30" s="18"/>
      <c r="E30" s="18"/>
      <c r="F30" s="26">
        <v>0.25</v>
      </c>
      <c r="G30" s="27">
        <f>(F30/12)</f>
        <v>2.0833333333333332E-2</v>
      </c>
      <c r="H30" s="264">
        <v>0.61</v>
      </c>
      <c r="I30" s="262">
        <f>H30/G30^0.5</f>
        <v>4.2262039704680605</v>
      </c>
      <c r="J30" s="18"/>
      <c r="K30" s="37"/>
      <c r="L30" s="38"/>
      <c r="M30" s="39">
        <v>0.15</v>
      </c>
      <c r="N30" s="39">
        <v>0.28000000000000003</v>
      </c>
      <c r="O30" s="39">
        <v>0.13</v>
      </c>
      <c r="P30" s="39">
        <v>0.24</v>
      </c>
      <c r="Q30" s="39">
        <v>0.13</v>
      </c>
      <c r="R30" s="39">
        <v>0.23</v>
      </c>
      <c r="S30" s="39">
        <v>0.17</v>
      </c>
      <c r="T30" s="39">
        <v>0.26</v>
      </c>
      <c r="U30" s="39">
        <v>0.13</v>
      </c>
      <c r="V30" s="40">
        <v>0.26</v>
      </c>
      <c r="X30" s="7"/>
      <c r="Y30" s="7"/>
      <c r="Z30" s="7"/>
      <c r="AA30" s="101"/>
      <c r="AB30" s="7"/>
      <c r="AC30" s="7"/>
      <c r="AE30" s="183"/>
    </row>
    <row r="31" spans="1:31" ht="13.8" thickTop="1" x14ac:dyDescent="0.25">
      <c r="A31" s="10"/>
      <c r="B31" s="21"/>
      <c r="C31" s="10"/>
      <c r="D31" s="10"/>
      <c r="E31" s="10"/>
      <c r="F31" s="14"/>
      <c r="G31" s="15"/>
      <c r="H31" s="16"/>
      <c r="I31" s="17"/>
      <c r="J31" s="10"/>
      <c r="K31" s="10"/>
      <c r="L31" s="10"/>
      <c r="M31" s="16" t="s">
        <v>70</v>
      </c>
      <c r="N31" s="16" t="s">
        <v>71</v>
      </c>
      <c r="O31" s="16" t="s">
        <v>72</v>
      </c>
      <c r="P31" s="16" t="s">
        <v>73</v>
      </c>
      <c r="Q31" s="16" t="s">
        <v>74</v>
      </c>
      <c r="R31" s="16" t="s">
        <v>75</v>
      </c>
      <c r="S31" s="16" t="s">
        <v>76</v>
      </c>
      <c r="T31" s="16" t="s">
        <v>77</v>
      </c>
      <c r="U31" s="16" t="s">
        <v>78</v>
      </c>
      <c r="V31" s="16" t="s">
        <v>79</v>
      </c>
      <c r="X31" s="7"/>
      <c r="Y31" s="7"/>
      <c r="Z31" s="7"/>
      <c r="AA31" s="101"/>
      <c r="AB31" s="7"/>
      <c r="AC31" s="7"/>
      <c r="AE31" s="183"/>
    </row>
    <row r="32" spans="1:31" ht="13.8" thickBot="1" x14ac:dyDescent="0.3">
      <c r="M32" s="7"/>
      <c r="X32" s="7"/>
      <c r="Y32" s="7"/>
      <c r="Z32" s="7"/>
      <c r="AA32" s="101"/>
      <c r="AB32" s="7"/>
      <c r="AC32" s="7"/>
      <c r="AE32" s="183"/>
    </row>
    <row r="33" spans="1:31" ht="13.8" thickTop="1" x14ac:dyDescent="0.25">
      <c r="A33" s="23"/>
      <c r="B33" s="20" t="s">
        <v>2</v>
      </c>
      <c r="C33" s="260">
        <v>6</v>
      </c>
      <c r="D33" s="8"/>
      <c r="E33" s="8"/>
      <c r="F33" s="9" t="s">
        <v>5</v>
      </c>
      <c r="G33" s="9" t="s">
        <v>6</v>
      </c>
      <c r="H33" s="9" t="s">
        <v>7</v>
      </c>
      <c r="I33" s="9" t="s">
        <v>29</v>
      </c>
      <c r="J33" s="52"/>
      <c r="K33" s="31"/>
      <c r="L33" s="32"/>
      <c r="M33" s="41"/>
      <c r="N33" s="32"/>
      <c r="O33" s="32"/>
      <c r="P33" s="32"/>
      <c r="Q33" s="32"/>
      <c r="R33" s="32"/>
      <c r="S33" s="32"/>
      <c r="T33" s="32"/>
      <c r="U33" s="32"/>
      <c r="V33" s="33"/>
      <c r="X33" s="7"/>
      <c r="Y33" s="7"/>
      <c r="Z33" s="7"/>
      <c r="AA33" s="101"/>
      <c r="AB33" s="7"/>
      <c r="AC33" s="7"/>
      <c r="AE33" s="257" t="s">
        <v>30</v>
      </c>
    </row>
    <row r="34" spans="1:31" x14ac:dyDescent="0.25">
      <c r="A34" s="24"/>
      <c r="B34" s="21" t="s">
        <v>3</v>
      </c>
      <c r="C34" s="12" t="s">
        <v>9</v>
      </c>
      <c r="D34" s="13"/>
      <c r="E34" s="10"/>
      <c r="F34" s="14">
        <v>6.25E-2</v>
      </c>
      <c r="G34" s="15">
        <f>(F34/12)</f>
        <v>5.208333333333333E-3</v>
      </c>
      <c r="H34" s="16">
        <v>0.16</v>
      </c>
      <c r="I34" s="258">
        <f>H34/G34^0.5</f>
        <v>2.2170250336881629</v>
      </c>
      <c r="J34" s="53" t="s">
        <v>30</v>
      </c>
      <c r="K34" s="34"/>
      <c r="L34" s="29" t="s">
        <v>10</v>
      </c>
      <c r="M34" s="11" t="s">
        <v>11</v>
      </c>
      <c r="N34" s="11" t="s">
        <v>13</v>
      </c>
      <c r="O34" s="11" t="s">
        <v>15</v>
      </c>
      <c r="P34" s="11" t="s">
        <v>16</v>
      </c>
      <c r="Q34" s="11" t="s">
        <v>17</v>
      </c>
      <c r="R34" s="11" t="s">
        <v>18</v>
      </c>
      <c r="S34" s="11" t="s">
        <v>19</v>
      </c>
      <c r="T34" s="11" t="s">
        <v>20</v>
      </c>
      <c r="U34" s="11" t="s">
        <v>21</v>
      </c>
      <c r="V34" s="35" t="s">
        <v>22</v>
      </c>
      <c r="X34" s="7">
        <v>6</v>
      </c>
      <c r="Y34" s="7">
        <v>3</v>
      </c>
      <c r="Z34" s="101">
        <f>0.4*(3.14159*(X34/2)^2)/144</f>
        <v>7.8539750000000005E-2</v>
      </c>
      <c r="AA34" s="101">
        <f>((0.5*3.14159*X34)-1)/12</f>
        <v>0.7020641666666666</v>
      </c>
      <c r="AB34" s="101">
        <f>Z34/AA34</f>
        <v>0.11186976024271288</v>
      </c>
      <c r="AC34" s="7">
        <v>1.2E-2</v>
      </c>
      <c r="AD34" s="186">
        <f>(1.486*Z34*AB34^0.667)/AC34</f>
        <v>2.2564122752148763</v>
      </c>
      <c r="AE34" s="257">
        <v>2.2291935435789498</v>
      </c>
    </row>
    <row r="35" spans="1:31" x14ac:dyDescent="0.25">
      <c r="A35" s="24"/>
      <c r="B35" s="21"/>
      <c r="C35" s="10"/>
      <c r="D35" s="10"/>
      <c r="E35" s="10"/>
      <c r="F35" s="14">
        <v>0.125</v>
      </c>
      <c r="G35" s="15">
        <f>(F35/12)</f>
        <v>1.0416666666666666E-2</v>
      </c>
      <c r="H35" s="16">
        <v>0.23</v>
      </c>
      <c r="I35" s="258">
        <f>H35/G35^0.5</f>
        <v>2.253530563360524</v>
      </c>
      <c r="J35" s="30">
        <f>(I34+I35+I36)/3</f>
        <v>2.2291935435789498</v>
      </c>
      <c r="K35" s="34"/>
      <c r="L35" s="10"/>
      <c r="M35" s="11" t="s">
        <v>12</v>
      </c>
      <c r="N35" s="11" t="s">
        <v>12</v>
      </c>
      <c r="O35" s="11" t="s">
        <v>12</v>
      </c>
      <c r="P35" s="11" t="s">
        <v>12</v>
      </c>
      <c r="Q35" s="11" t="s">
        <v>12</v>
      </c>
      <c r="R35" s="11" t="s">
        <v>12</v>
      </c>
      <c r="S35" s="11" t="s">
        <v>12</v>
      </c>
      <c r="T35" s="11" t="s">
        <v>12</v>
      </c>
      <c r="U35" s="11" t="s">
        <v>12</v>
      </c>
      <c r="V35" s="35" t="s">
        <v>12</v>
      </c>
      <c r="X35" s="7"/>
      <c r="Y35" s="7"/>
      <c r="Z35" s="7"/>
      <c r="AA35" s="7"/>
      <c r="AB35" s="7"/>
      <c r="AC35" s="7"/>
      <c r="AE35" s="7"/>
    </row>
    <row r="36" spans="1:31" x14ac:dyDescent="0.25">
      <c r="A36" s="24"/>
      <c r="B36" s="21"/>
      <c r="C36" s="10"/>
      <c r="D36" s="10"/>
      <c r="E36" s="10"/>
      <c r="F36" s="14">
        <v>0.25</v>
      </c>
      <c r="G36" s="15">
        <f>(F36/12)</f>
        <v>2.0833333333333332E-2</v>
      </c>
      <c r="H36" s="16">
        <v>0.32</v>
      </c>
      <c r="I36" s="258">
        <f>H36/G36^0.5</f>
        <v>2.2170250336881629</v>
      </c>
      <c r="J36" s="10"/>
      <c r="K36" s="34"/>
      <c r="L36" s="10"/>
      <c r="M36" s="11">
        <v>0.12</v>
      </c>
      <c r="N36" s="11">
        <v>0.21</v>
      </c>
      <c r="O36" s="11">
        <v>0.1</v>
      </c>
      <c r="P36" s="11">
        <v>0.18</v>
      </c>
      <c r="Q36" s="11">
        <v>0.11</v>
      </c>
      <c r="R36" s="11">
        <v>0.19</v>
      </c>
      <c r="S36" s="11">
        <v>0.13</v>
      </c>
      <c r="T36" s="11">
        <v>0.19</v>
      </c>
      <c r="U36" s="11">
        <v>0.2</v>
      </c>
      <c r="V36" s="35">
        <v>0.33</v>
      </c>
      <c r="X36" s="7"/>
      <c r="Y36" s="7"/>
      <c r="Z36" s="7"/>
      <c r="AA36" s="7"/>
      <c r="AB36" s="7"/>
      <c r="AC36" s="7"/>
      <c r="AE36" s="7"/>
    </row>
    <row r="37" spans="1:31" ht="13.8" thickBot="1" x14ac:dyDescent="0.3">
      <c r="A37" s="25"/>
      <c r="B37" s="22"/>
      <c r="C37" s="18"/>
      <c r="D37" s="18"/>
      <c r="E37" s="18"/>
      <c r="F37" s="19"/>
      <c r="G37" s="18"/>
      <c r="H37" s="18"/>
      <c r="I37" s="18"/>
      <c r="J37" s="18"/>
      <c r="K37" s="37"/>
      <c r="L37" s="38"/>
      <c r="M37" s="55" t="s">
        <v>80</v>
      </c>
      <c r="N37" s="55" t="s">
        <v>81</v>
      </c>
      <c r="O37" s="55" t="s">
        <v>82</v>
      </c>
      <c r="P37" s="55" t="s">
        <v>83</v>
      </c>
      <c r="Q37" s="55" t="s">
        <v>84</v>
      </c>
      <c r="R37" s="55" t="s">
        <v>85</v>
      </c>
      <c r="S37" s="55" t="s">
        <v>86</v>
      </c>
      <c r="T37" s="55" t="s">
        <v>87</v>
      </c>
      <c r="U37" s="55" t="s">
        <v>88</v>
      </c>
      <c r="V37" s="56" t="s">
        <v>89</v>
      </c>
      <c r="X37" s="7"/>
      <c r="Y37" s="7"/>
      <c r="Z37" s="7"/>
      <c r="AA37" s="7"/>
      <c r="AB37" s="7"/>
      <c r="AC37" s="7"/>
      <c r="AE37" s="7"/>
    </row>
    <row r="38" spans="1:31" ht="13.8" thickTop="1" x14ac:dyDescent="0.25">
      <c r="M38" s="7"/>
      <c r="X38" s="7"/>
      <c r="Y38" s="7"/>
      <c r="Z38" s="7"/>
      <c r="AA38" s="7"/>
      <c r="AB38" s="7"/>
      <c r="AC38" s="7"/>
      <c r="AE38" s="7"/>
    </row>
    <row r="39" spans="1:31" x14ac:dyDescent="0.25">
      <c r="M39" s="7"/>
      <c r="X39" s="7"/>
      <c r="Y39" s="7"/>
      <c r="Z39" s="7"/>
      <c r="AA39" s="7"/>
      <c r="AB39" s="7"/>
      <c r="AC39" s="7"/>
    </row>
    <row r="40" spans="1:31" ht="18" customHeight="1" x14ac:dyDescent="0.3">
      <c r="B40" s="248" t="s">
        <v>139</v>
      </c>
      <c r="C40" s="248"/>
      <c r="D40" s="248"/>
      <c r="F40"/>
      <c r="M40" s="7"/>
      <c r="X40" s="7"/>
      <c r="Y40" s="7"/>
      <c r="Z40" s="7"/>
      <c r="AA40" s="7"/>
      <c r="AB40" s="7"/>
      <c r="AC40" s="7"/>
    </row>
    <row r="41" spans="1:31" ht="13.8" thickBot="1" x14ac:dyDescent="0.3">
      <c r="A41" s="43" t="s">
        <v>158</v>
      </c>
      <c r="B41" s="194" t="s">
        <v>140</v>
      </c>
      <c r="C41" s="195" t="s">
        <v>141</v>
      </c>
      <c r="D41" s="195" t="s">
        <v>142</v>
      </c>
      <c r="E41" s="2"/>
      <c r="F41" s="195" t="s">
        <v>138</v>
      </c>
      <c r="M41" s="7" t="s">
        <v>168</v>
      </c>
      <c r="R41" s="7" t="s">
        <v>169</v>
      </c>
      <c r="X41" s="7"/>
      <c r="Y41" s="7"/>
      <c r="Z41" s="7"/>
      <c r="AA41" s="7"/>
      <c r="AB41" s="7"/>
      <c r="AC41" s="7"/>
    </row>
    <row r="42" spans="1:31" ht="16.2" thickTop="1" x14ac:dyDescent="0.25">
      <c r="A42" s="187" t="s">
        <v>160</v>
      </c>
      <c r="B42" s="9" t="s">
        <v>14</v>
      </c>
      <c r="C42" s="9">
        <v>3</v>
      </c>
      <c r="D42" s="9">
        <v>4.75</v>
      </c>
      <c r="E42" s="9"/>
      <c r="F42" s="188">
        <f>0.6*(3.14159*(C42/2)^2/144)*(2*32.2*D42/12)^0.5</f>
        <v>0.14870305734208764</v>
      </c>
      <c r="G42" s="211" t="s">
        <v>162</v>
      </c>
      <c r="H42" s="212"/>
      <c r="I42" s="213"/>
      <c r="M42" s="7" t="s">
        <v>164</v>
      </c>
      <c r="N42" s="7" t="s">
        <v>165</v>
      </c>
      <c r="O42" s="7" t="s">
        <v>166</v>
      </c>
      <c r="P42" s="7" t="s">
        <v>167</v>
      </c>
      <c r="R42" s="7" t="s">
        <v>164</v>
      </c>
      <c r="S42" s="7" t="s">
        <v>165</v>
      </c>
      <c r="T42" s="7" t="s">
        <v>166</v>
      </c>
      <c r="U42" s="7" t="s">
        <v>167</v>
      </c>
      <c r="X42" s="7"/>
      <c r="Y42" s="7"/>
      <c r="Z42" s="7"/>
      <c r="AA42" s="7"/>
      <c r="AB42" s="7"/>
      <c r="AC42" s="7"/>
    </row>
    <row r="43" spans="1:31" x14ac:dyDescent="0.25">
      <c r="A43" s="189" t="s">
        <v>161</v>
      </c>
      <c r="B43" s="11">
        <v>3</v>
      </c>
      <c r="C43" s="11">
        <v>3</v>
      </c>
      <c r="D43" s="11">
        <v>4.75</v>
      </c>
      <c r="E43" s="11"/>
      <c r="F43" s="190">
        <f>0.55*(B43*C43/144)*(2*32.2*(D43)/12)^0.5</f>
        <v>0.17355687520894031</v>
      </c>
      <c r="G43" s="214"/>
      <c r="H43" s="215"/>
      <c r="I43" s="216"/>
      <c r="M43" s="7">
        <v>0.5</v>
      </c>
      <c r="N43" s="7">
        <f>(M43/12)/300</f>
        <v>1.3888888888888889E-4</v>
      </c>
      <c r="O43" s="7">
        <v>0.22</v>
      </c>
      <c r="P43" s="7">
        <f>O43/N$43</f>
        <v>1584</v>
      </c>
      <c r="R43" s="7">
        <v>0.6</v>
      </c>
      <c r="S43" s="7">
        <f>(R43/12)/300</f>
        <v>1.6666666666666666E-4</v>
      </c>
      <c r="T43" s="7">
        <v>0.22</v>
      </c>
      <c r="U43" s="7">
        <f>T43/S$43</f>
        <v>1320</v>
      </c>
      <c r="X43" s="7"/>
      <c r="Y43" s="7"/>
      <c r="Z43" s="7"/>
      <c r="AA43" s="7"/>
      <c r="AB43" s="7"/>
      <c r="AC43" s="7"/>
    </row>
    <row r="44" spans="1:31" x14ac:dyDescent="0.25">
      <c r="A44" s="189" t="s">
        <v>159</v>
      </c>
      <c r="B44" s="11">
        <v>2</v>
      </c>
      <c r="C44" s="11">
        <v>3</v>
      </c>
      <c r="D44" s="11">
        <v>4.75</v>
      </c>
      <c r="E44" s="11"/>
      <c r="F44" s="190">
        <f>0.6*(B44*C44/144)*(2*32.2*(D44)/12)^0.5</f>
        <v>0.12622318197013838</v>
      </c>
      <c r="G44" s="214"/>
      <c r="H44" s="215"/>
      <c r="I44" s="216"/>
      <c r="M44" s="7"/>
      <c r="N44" s="7"/>
      <c r="O44" s="7">
        <v>0.31</v>
      </c>
      <c r="P44" s="7">
        <f t="shared" ref="P44:P60" si="0">O44/N$43</f>
        <v>2232</v>
      </c>
      <c r="T44" s="7">
        <v>0.31</v>
      </c>
      <c r="U44" s="7">
        <f t="shared" ref="U44:U60" si="1">T44/S$43</f>
        <v>1860</v>
      </c>
      <c r="X44" s="7"/>
      <c r="Y44" s="7"/>
      <c r="Z44" s="7"/>
      <c r="AA44" s="7"/>
      <c r="AB44" s="7"/>
      <c r="AC44" s="7"/>
    </row>
    <row r="45" spans="1:31" ht="13.8" thickBot="1" x14ac:dyDescent="0.3">
      <c r="A45" s="191" t="s">
        <v>159</v>
      </c>
      <c r="B45" s="19">
        <v>3</v>
      </c>
      <c r="C45" s="19">
        <v>4</v>
      </c>
      <c r="D45" s="193">
        <v>4.75</v>
      </c>
      <c r="E45" s="19"/>
      <c r="F45" s="192">
        <f>0.6*(B45*C45/144)*(2*32.2*D45/12)^0.5</f>
        <v>0.25244636394027675</v>
      </c>
      <c r="G45" s="214"/>
      <c r="H45" s="215"/>
      <c r="I45" s="216"/>
      <c r="O45" s="7">
        <v>0.44</v>
      </c>
      <c r="P45" s="7">
        <f t="shared" si="0"/>
        <v>3168</v>
      </c>
      <c r="T45" s="7">
        <v>0.44</v>
      </c>
      <c r="U45" s="7">
        <f t="shared" si="1"/>
        <v>2640</v>
      </c>
    </row>
    <row r="46" spans="1:31" ht="13.8" thickTop="1" x14ac:dyDescent="0.25">
      <c r="A46" s="187" t="s">
        <v>160</v>
      </c>
      <c r="B46" s="9" t="s">
        <v>14</v>
      </c>
      <c r="C46" s="9">
        <v>3</v>
      </c>
      <c r="D46" s="9">
        <v>5.25</v>
      </c>
      <c r="E46" s="9"/>
      <c r="F46" s="188">
        <f>0.6*(3.14159*(C46/2)^2/144)*(2*32.2*D46/12)^0.5</f>
        <v>0.15633374968494876</v>
      </c>
      <c r="G46" s="214"/>
      <c r="H46" s="215"/>
      <c r="I46" s="216"/>
      <c r="O46" s="7">
        <v>0.34</v>
      </c>
      <c r="P46" s="7">
        <f t="shared" si="0"/>
        <v>2448</v>
      </c>
      <c r="T46" s="7">
        <v>0.34</v>
      </c>
      <c r="U46" s="7">
        <f t="shared" si="1"/>
        <v>2040.0000000000002</v>
      </c>
    </row>
    <row r="47" spans="1:31" x14ac:dyDescent="0.25">
      <c r="A47" s="189" t="s">
        <v>160</v>
      </c>
      <c r="B47" s="11" t="s">
        <v>14</v>
      </c>
      <c r="C47" s="11">
        <v>4</v>
      </c>
      <c r="D47" s="11">
        <v>5.25</v>
      </c>
      <c r="E47" s="11"/>
      <c r="F47" s="190">
        <f>0.6*(3.14159*(C47/2)^2/144)*(2*32.2*D47/12)^0.5</f>
        <v>0.27792666610657557</v>
      </c>
      <c r="G47" s="214"/>
      <c r="H47" s="215"/>
      <c r="I47" s="216"/>
      <c r="O47" s="7">
        <v>0.48</v>
      </c>
      <c r="P47" s="7">
        <f t="shared" si="0"/>
        <v>3456</v>
      </c>
      <c r="T47" s="7">
        <v>0.48</v>
      </c>
      <c r="U47" s="7">
        <f t="shared" si="1"/>
        <v>2880</v>
      </c>
    </row>
    <row r="48" spans="1:31" x14ac:dyDescent="0.25">
      <c r="A48" s="189" t="s">
        <v>161</v>
      </c>
      <c r="B48" s="11">
        <v>3</v>
      </c>
      <c r="C48" s="11">
        <v>3</v>
      </c>
      <c r="D48" s="11">
        <v>5.25</v>
      </c>
      <c r="E48" s="11"/>
      <c r="F48" s="190">
        <f>0.55*(B48*C48/144)*(2*32.2*(D48)/12)^0.5</f>
        <v>0.18246294037249045</v>
      </c>
      <c r="G48" s="214"/>
      <c r="H48" s="215"/>
      <c r="I48" s="216"/>
      <c r="O48" s="7">
        <v>0.68</v>
      </c>
      <c r="P48" s="7">
        <f t="shared" si="0"/>
        <v>4896</v>
      </c>
      <c r="T48" s="7">
        <v>0.68</v>
      </c>
      <c r="U48" s="7">
        <f t="shared" si="1"/>
        <v>4080.0000000000005</v>
      </c>
    </row>
    <row r="49" spans="1:21" x14ac:dyDescent="0.25">
      <c r="A49" s="189" t="s">
        <v>161</v>
      </c>
      <c r="B49" s="11">
        <v>4</v>
      </c>
      <c r="C49" s="11">
        <v>4</v>
      </c>
      <c r="D49" s="11">
        <v>5.25</v>
      </c>
      <c r="E49" s="11"/>
      <c r="F49" s="190">
        <f>0.5*(B49*C49/144)*(2*32.2*(D49)/12)^0.5</f>
        <v>0.2948896006020047</v>
      </c>
      <c r="G49" s="214"/>
      <c r="H49" s="215"/>
      <c r="I49" s="216"/>
      <c r="O49" s="7">
        <v>0.59</v>
      </c>
      <c r="P49" s="7">
        <f t="shared" si="0"/>
        <v>4248</v>
      </c>
      <c r="T49" s="7">
        <v>0.59</v>
      </c>
      <c r="U49" s="7">
        <f t="shared" si="1"/>
        <v>3540</v>
      </c>
    </row>
    <row r="50" spans="1:21" x14ac:dyDescent="0.25">
      <c r="A50" s="189" t="s">
        <v>159</v>
      </c>
      <c r="B50" s="11">
        <v>3</v>
      </c>
      <c r="C50" s="11">
        <v>4</v>
      </c>
      <c r="D50" s="11">
        <v>5.25</v>
      </c>
      <c r="E50" s="11"/>
      <c r="F50" s="190">
        <f>0.6*(B50*C50/144)*(2*32.2*(D50)/12)^0.5</f>
        <v>0.26540064054180423</v>
      </c>
      <c r="G50" s="214"/>
      <c r="H50" s="215"/>
      <c r="I50" s="216"/>
      <c r="O50" s="7">
        <v>0.83</v>
      </c>
      <c r="P50" s="7">
        <f t="shared" si="0"/>
        <v>5976</v>
      </c>
      <c r="T50" s="7">
        <v>0.83</v>
      </c>
      <c r="U50" s="7">
        <f t="shared" si="1"/>
        <v>4980</v>
      </c>
    </row>
    <row r="51" spans="1:21" ht="13.8" thickBot="1" x14ac:dyDescent="0.3">
      <c r="A51" s="191" t="s">
        <v>159</v>
      </c>
      <c r="B51" s="19">
        <v>4</v>
      </c>
      <c r="C51" s="19">
        <v>5</v>
      </c>
      <c r="D51" s="11">
        <v>5.25</v>
      </c>
      <c r="E51" s="19"/>
      <c r="F51" s="192">
        <f>0.6*(B51*C51/144)*(2*32.2*D51/12)^0.5</f>
        <v>0.44233440090300707</v>
      </c>
      <c r="G51" s="214"/>
      <c r="H51" s="215"/>
      <c r="I51" s="216"/>
      <c r="O51" s="7">
        <v>1.17</v>
      </c>
      <c r="P51" s="7">
        <f t="shared" si="0"/>
        <v>8424</v>
      </c>
      <c r="T51" s="7">
        <v>1.17</v>
      </c>
      <c r="U51" s="7">
        <f t="shared" si="1"/>
        <v>7020</v>
      </c>
    </row>
    <row r="52" spans="1:21" ht="13.8" thickTop="1" x14ac:dyDescent="0.25">
      <c r="A52" s="187" t="s">
        <v>160</v>
      </c>
      <c r="B52" s="9" t="s">
        <v>14</v>
      </c>
      <c r="C52" s="9">
        <v>4</v>
      </c>
      <c r="D52" s="9">
        <v>6.5</v>
      </c>
      <c r="E52" s="9"/>
      <c r="F52" s="188">
        <f>0.6*(3.14159*(C52/2)^2/144)*(2*32.2*D52/12)^0.5</f>
        <v>0.30924824556310399</v>
      </c>
      <c r="G52" s="214"/>
      <c r="H52" s="215"/>
      <c r="I52" s="216"/>
      <c r="O52" s="7">
        <v>0.14000000000000001</v>
      </c>
      <c r="P52" s="7">
        <f t="shared" si="0"/>
        <v>1008.0000000000001</v>
      </c>
      <c r="T52" s="7">
        <v>0.14000000000000001</v>
      </c>
      <c r="U52" s="7">
        <f t="shared" si="1"/>
        <v>840.00000000000011</v>
      </c>
    </row>
    <row r="53" spans="1:21" x14ac:dyDescent="0.25">
      <c r="A53" s="189" t="s">
        <v>160</v>
      </c>
      <c r="B53" s="11" t="s">
        <v>14</v>
      </c>
      <c r="C53" s="11">
        <v>5</v>
      </c>
      <c r="D53" s="11">
        <v>6.5</v>
      </c>
      <c r="E53" s="11"/>
      <c r="F53" s="190">
        <f>0.6*(3.14159*(C53/2)^2/144)*(2*32.2*D53/12)^0.5</f>
        <v>0.48320038369235002</v>
      </c>
      <c r="G53" s="214"/>
      <c r="H53" s="215"/>
      <c r="I53" s="216"/>
      <c r="O53" s="7">
        <v>0.19</v>
      </c>
      <c r="P53" s="7">
        <f t="shared" si="0"/>
        <v>1368</v>
      </c>
      <c r="T53" s="7">
        <v>0.19</v>
      </c>
      <c r="U53" s="7">
        <f t="shared" si="1"/>
        <v>1140</v>
      </c>
    </row>
    <row r="54" spans="1:21" x14ac:dyDescent="0.25">
      <c r="A54" s="189" t="s">
        <v>161</v>
      </c>
      <c r="B54" s="11">
        <v>4</v>
      </c>
      <c r="C54" s="11">
        <v>4</v>
      </c>
      <c r="D54" s="11">
        <v>6.5</v>
      </c>
      <c r="E54" s="11"/>
      <c r="F54" s="190">
        <f>0.5*(B54*C54/144)*(2*32.2*(D54)/12)^0.5</f>
        <v>0.32812285664594892</v>
      </c>
      <c r="G54" s="214"/>
      <c r="H54" s="215"/>
      <c r="I54" s="216"/>
      <c r="O54" s="7">
        <v>0.27</v>
      </c>
      <c r="P54" s="7">
        <f t="shared" si="0"/>
        <v>1944.0000000000002</v>
      </c>
      <c r="T54" s="7">
        <v>0.27</v>
      </c>
      <c r="U54" s="7">
        <f t="shared" si="1"/>
        <v>1620.0000000000002</v>
      </c>
    </row>
    <row r="55" spans="1:21" x14ac:dyDescent="0.25">
      <c r="A55" s="189" t="s">
        <v>161</v>
      </c>
      <c r="B55" s="11">
        <v>5</v>
      </c>
      <c r="C55" s="11">
        <v>5</v>
      </c>
      <c r="D55" s="11">
        <v>6.5</v>
      </c>
      <c r="E55" s="11"/>
      <c r="F55" s="190">
        <f>0.45*(B55*C55/144)*(2*32.2*(D55)/12)^0.5</f>
        <v>0.46142276715836567</v>
      </c>
      <c r="G55" s="214"/>
      <c r="H55" s="215"/>
      <c r="I55" s="216"/>
      <c r="O55" s="7">
        <v>0.34</v>
      </c>
      <c r="P55" s="7">
        <f t="shared" si="0"/>
        <v>2448</v>
      </c>
      <c r="T55" s="7">
        <v>0.34</v>
      </c>
      <c r="U55" s="7">
        <f t="shared" si="1"/>
        <v>2040.0000000000002</v>
      </c>
    </row>
    <row r="56" spans="1:21" x14ac:dyDescent="0.25">
      <c r="A56" s="189" t="s">
        <v>159</v>
      </c>
      <c r="B56" s="11">
        <v>4</v>
      </c>
      <c r="C56" s="11">
        <v>5</v>
      </c>
      <c r="D56" s="11">
        <v>6.5</v>
      </c>
      <c r="E56" s="11"/>
      <c r="F56" s="190">
        <f>0.6*(B56*C56/144)*(2*32.2*(D56)/12)^0.5</f>
        <v>0.49218428496892336</v>
      </c>
      <c r="G56" s="214"/>
      <c r="H56" s="215"/>
      <c r="I56" s="216"/>
      <c r="O56" s="7">
        <v>0.47</v>
      </c>
      <c r="P56" s="7">
        <f t="shared" si="0"/>
        <v>3384</v>
      </c>
      <c r="T56" s="7">
        <v>0.47</v>
      </c>
      <c r="U56" s="7">
        <f t="shared" si="1"/>
        <v>2820</v>
      </c>
    </row>
    <row r="57" spans="1:21" ht="13.8" thickBot="1" x14ac:dyDescent="0.3">
      <c r="A57" s="191" t="s">
        <v>159</v>
      </c>
      <c r="B57" s="19">
        <v>5</v>
      </c>
      <c r="C57" s="19">
        <v>6</v>
      </c>
      <c r="D57" s="19">
        <v>6.5</v>
      </c>
      <c r="E57" s="19"/>
      <c r="F57" s="192">
        <f>0.6*(B57*C57/144)*(2*32.2*D57/12)^0.5</f>
        <v>0.73827642745338506</v>
      </c>
      <c r="G57" s="217"/>
      <c r="H57" s="218"/>
      <c r="I57" s="219"/>
      <c r="O57" s="7">
        <v>0.69</v>
      </c>
      <c r="P57" s="7">
        <f t="shared" si="0"/>
        <v>4968</v>
      </c>
      <c r="T57" s="7">
        <v>0.69</v>
      </c>
      <c r="U57" s="7">
        <f t="shared" si="1"/>
        <v>4140</v>
      </c>
    </row>
    <row r="58" spans="1:21" ht="13.8" thickTop="1" x14ac:dyDescent="0.25">
      <c r="A58" s="187" t="s">
        <v>160</v>
      </c>
      <c r="B58" s="9" t="s">
        <v>14</v>
      </c>
      <c r="C58" s="9">
        <v>3</v>
      </c>
      <c r="D58" s="9">
        <v>3.5</v>
      </c>
      <c r="E58" s="9"/>
      <c r="F58" s="188">
        <f>0.6*(3.14159*(C58/2)^2/144)*(2*32.2*D58/12)^0.5</f>
        <v>0.12764597210137163</v>
      </c>
      <c r="G58" s="211" t="s">
        <v>163</v>
      </c>
      <c r="H58" s="212"/>
      <c r="I58" s="213"/>
      <c r="O58" s="7">
        <v>0.16</v>
      </c>
      <c r="P58" s="7">
        <f t="shared" si="0"/>
        <v>1152</v>
      </c>
      <c r="T58" s="7">
        <v>0.16</v>
      </c>
      <c r="U58" s="7">
        <f t="shared" si="1"/>
        <v>960</v>
      </c>
    </row>
    <row r="59" spans="1:21" x14ac:dyDescent="0.25">
      <c r="A59" s="189" t="s">
        <v>161</v>
      </c>
      <c r="B59" s="11">
        <v>3</v>
      </c>
      <c r="C59" s="11">
        <v>3</v>
      </c>
      <c r="D59" s="11">
        <v>3.5</v>
      </c>
      <c r="E59" s="11"/>
      <c r="F59" s="190">
        <f>0.55*(B59*C59/144)*(2*32.2*(D59)/12)^0.5</f>
        <v>0.14898036696015798</v>
      </c>
      <c r="G59" s="214"/>
      <c r="H59" s="215"/>
      <c r="I59" s="216"/>
      <c r="O59" s="7">
        <v>0.23</v>
      </c>
      <c r="P59" s="7">
        <f t="shared" si="0"/>
        <v>1656</v>
      </c>
      <c r="T59" s="7">
        <v>0.23</v>
      </c>
      <c r="U59" s="7">
        <f t="shared" si="1"/>
        <v>1380</v>
      </c>
    </row>
    <row r="60" spans="1:21" x14ac:dyDescent="0.25">
      <c r="A60" s="189" t="s">
        <v>159</v>
      </c>
      <c r="B60" s="11">
        <v>2</v>
      </c>
      <c r="C60" s="11">
        <v>3</v>
      </c>
      <c r="D60" s="11">
        <v>3.5</v>
      </c>
      <c r="E60" s="11"/>
      <c r="F60" s="190">
        <f>0.6*(B60*C60/144)*(2*32.2*(D60)/12)^0.5</f>
        <v>0.10834935778920579</v>
      </c>
      <c r="G60" s="214"/>
      <c r="H60" s="215"/>
      <c r="I60" s="216"/>
      <c r="O60" s="7">
        <v>0.32</v>
      </c>
      <c r="P60" s="7">
        <f t="shared" si="0"/>
        <v>2304</v>
      </c>
      <c r="T60" s="7">
        <v>0.32</v>
      </c>
      <c r="U60" s="7">
        <f t="shared" si="1"/>
        <v>1920</v>
      </c>
    </row>
    <row r="61" spans="1:21" ht="13.8" thickBot="1" x14ac:dyDescent="0.3">
      <c r="A61" s="191" t="s">
        <v>159</v>
      </c>
      <c r="B61" s="19">
        <v>3</v>
      </c>
      <c r="C61" s="19">
        <v>4</v>
      </c>
      <c r="D61" s="19">
        <v>3.5</v>
      </c>
      <c r="E61" s="19"/>
      <c r="F61" s="192">
        <f>0.6*(B61*C61/144)*(2*32.2*D61/12)^0.5</f>
        <v>0.21669871557841158</v>
      </c>
      <c r="G61" s="214"/>
      <c r="H61" s="215"/>
      <c r="I61" s="216"/>
    </row>
    <row r="62" spans="1:21" ht="13.8" thickTop="1" x14ac:dyDescent="0.25">
      <c r="A62" s="187" t="s">
        <v>160</v>
      </c>
      <c r="B62" s="9" t="s">
        <v>14</v>
      </c>
      <c r="C62" s="9">
        <v>3</v>
      </c>
      <c r="D62" s="11">
        <v>4.75</v>
      </c>
      <c r="E62" s="9"/>
      <c r="F62" s="188">
        <f>0.6*(3.14159*(C62/2)^2/144)*(2*32.2*D62/12)^0.5</f>
        <v>0.14870305734208764</v>
      </c>
      <c r="G62" s="214"/>
      <c r="H62" s="215"/>
      <c r="I62" s="216"/>
    </row>
    <row r="63" spans="1:21" x14ac:dyDescent="0.25">
      <c r="A63" s="189" t="s">
        <v>160</v>
      </c>
      <c r="B63" s="11" t="s">
        <v>14</v>
      </c>
      <c r="C63" s="11">
        <v>4</v>
      </c>
      <c r="D63" s="11">
        <v>4.75</v>
      </c>
      <c r="E63" s="11"/>
      <c r="F63" s="190">
        <f>0.6*(3.14159*(C63/2)^2/144)*(2*32.2*D63/12)^0.5</f>
        <v>0.26436099083037801</v>
      </c>
      <c r="G63" s="214"/>
      <c r="H63" s="215"/>
      <c r="I63" s="216"/>
    </row>
    <row r="64" spans="1:21" x14ac:dyDescent="0.25">
      <c r="A64" s="189" t="s">
        <v>161</v>
      </c>
      <c r="B64" s="11">
        <v>3</v>
      </c>
      <c r="C64" s="11">
        <v>3</v>
      </c>
      <c r="D64" s="11">
        <v>4.75</v>
      </c>
      <c r="E64" s="11"/>
      <c r="F64" s="190">
        <f>0.55*(B64*C64/144)*(2*32.2*(D64)/12)^0.5</f>
        <v>0.17355687520894031</v>
      </c>
      <c r="G64" s="214"/>
      <c r="H64" s="215"/>
      <c r="I64" s="216"/>
    </row>
    <row r="65" spans="1:10" x14ac:dyDescent="0.25">
      <c r="A65" s="189" t="s">
        <v>161</v>
      </c>
      <c r="B65" s="11">
        <v>4</v>
      </c>
      <c r="C65" s="11">
        <v>4</v>
      </c>
      <c r="D65" s="11">
        <v>4.75</v>
      </c>
      <c r="E65" s="11"/>
      <c r="F65" s="190">
        <f>0.5*(B65*C65/144)*(2*32.2*(D65)/12)^0.5</f>
        <v>0.28049595993364085</v>
      </c>
      <c r="G65" s="214"/>
      <c r="H65" s="215"/>
      <c r="I65" s="216"/>
    </row>
    <row r="66" spans="1:10" x14ac:dyDescent="0.25">
      <c r="A66" s="189" t="s">
        <v>159</v>
      </c>
      <c r="B66" s="11">
        <v>2</v>
      </c>
      <c r="C66" s="11">
        <v>3</v>
      </c>
      <c r="D66" s="11">
        <v>4.75</v>
      </c>
      <c r="E66" s="11"/>
      <c r="F66" s="190">
        <f>0.6*(B66*C66/144)*(2*32.2*(D66)/12)^0.5</f>
        <v>0.12622318197013838</v>
      </c>
      <c r="G66" s="214"/>
      <c r="H66" s="215"/>
      <c r="I66" s="216"/>
    </row>
    <row r="67" spans="1:10" ht="13.8" thickBot="1" x14ac:dyDescent="0.3">
      <c r="A67" s="191" t="s">
        <v>159</v>
      </c>
      <c r="B67" s="19">
        <v>3</v>
      </c>
      <c r="C67" s="19">
        <v>4</v>
      </c>
      <c r="D67" s="19">
        <v>4.75</v>
      </c>
      <c r="E67" s="19"/>
      <c r="F67" s="192">
        <f>0.6*(B67*C67/144)*(2*32.2*D67/12)^0.5</f>
        <v>0.25244636394027675</v>
      </c>
      <c r="G67" s="217"/>
      <c r="H67" s="218"/>
      <c r="I67" s="219"/>
    </row>
    <row r="68" spans="1:10" ht="13.8" thickTop="1" x14ac:dyDescent="0.25">
      <c r="A68" s="187" t="s">
        <v>160</v>
      </c>
      <c r="B68" s="9" t="s">
        <v>14</v>
      </c>
      <c r="C68" s="9">
        <v>3</v>
      </c>
      <c r="D68" s="11">
        <v>3</v>
      </c>
      <c r="E68" s="9"/>
      <c r="F68" s="188">
        <f>0.6*(3.14159*(C68/2)^2/144)*(2*32.2*D68/12)^0.5</f>
        <v>0.11817720662645623</v>
      </c>
      <c r="G68" s="211" t="s">
        <v>9</v>
      </c>
      <c r="H68" s="212"/>
      <c r="I68" s="213"/>
    </row>
    <row r="69" spans="1:10" x14ac:dyDescent="0.25">
      <c r="A69" s="189" t="s">
        <v>160</v>
      </c>
      <c r="B69" s="11" t="s">
        <v>14</v>
      </c>
      <c r="C69" s="11">
        <v>4</v>
      </c>
      <c r="D69" s="11">
        <v>3</v>
      </c>
      <c r="E69" s="11"/>
      <c r="F69" s="190">
        <f>0.6*(3.14159*(C69/2)^2/144)*(2*32.2*D69/12)^0.5</f>
        <v>0.21009281178036662</v>
      </c>
      <c r="G69" s="214"/>
      <c r="H69" s="215"/>
      <c r="I69" s="216"/>
    </row>
    <row r="70" spans="1:10" x14ac:dyDescent="0.25">
      <c r="A70" s="189" t="s">
        <v>161</v>
      </c>
      <c r="B70" s="11">
        <v>3</v>
      </c>
      <c r="C70" s="11">
        <v>3</v>
      </c>
      <c r="D70" s="11">
        <v>3</v>
      </c>
      <c r="E70" s="11"/>
      <c r="F70" s="190">
        <f>0.55*(B70*C70/144)*(2*32.2*(D70)/12)^0.5</f>
        <v>0.13792901820320483</v>
      </c>
      <c r="G70" s="214"/>
      <c r="H70" s="215"/>
      <c r="I70" s="216"/>
    </row>
    <row r="71" spans="1:10" x14ac:dyDescent="0.25">
      <c r="A71" s="189" t="s">
        <v>161</v>
      </c>
      <c r="B71" s="11">
        <v>4</v>
      </c>
      <c r="C71" s="11">
        <v>4</v>
      </c>
      <c r="D71" s="11">
        <v>3</v>
      </c>
      <c r="E71" s="11"/>
      <c r="F71" s="190">
        <f>0.5*(B71*C71/144)*(2*32.2*(D71)/12)^0.5</f>
        <v>0.22291558497487646</v>
      </c>
      <c r="G71" s="214"/>
      <c r="H71" s="215"/>
      <c r="I71" s="216"/>
    </row>
    <row r="72" spans="1:10" x14ac:dyDescent="0.25">
      <c r="A72" s="189" t="s">
        <v>159</v>
      </c>
      <c r="B72" s="11">
        <v>3</v>
      </c>
      <c r="C72" s="11">
        <v>4</v>
      </c>
      <c r="D72" s="11">
        <v>3</v>
      </c>
      <c r="E72" s="11"/>
      <c r="F72" s="190">
        <f>0.6*(B72*C72/144)*(2*32.2*(D72)/12)^0.5</f>
        <v>0.20062402647738881</v>
      </c>
      <c r="G72" s="214"/>
      <c r="H72" s="215"/>
      <c r="I72" s="216"/>
    </row>
    <row r="73" spans="1:10" ht="13.8" thickBot="1" x14ac:dyDescent="0.3">
      <c r="A73" s="191" t="s">
        <v>159</v>
      </c>
      <c r="B73" s="19">
        <v>4</v>
      </c>
      <c r="C73" s="19">
        <v>5</v>
      </c>
      <c r="D73" s="19">
        <v>3</v>
      </c>
      <c r="E73" s="19"/>
      <c r="F73" s="192">
        <f>0.6*(B73*C73/144)*(2*32.2*D73/12)^0.5</f>
        <v>0.33437337746231466</v>
      </c>
      <c r="G73" s="217"/>
      <c r="H73" s="218"/>
      <c r="I73" s="219"/>
    </row>
    <row r="74" spans="1:10" ht="13.8" thickTop="1" x14ac:dyDescent="0.25"/>
    <row r="75" spans="1:10" ht="13.8" thickBot="1" x14ac:dyDescent="0.3"/>
    <row r="76" spans="1:10" ht="13.8" thickTop="1" x14ac:dyDescent="0.25">
      <c r="A76" s="23"/>
      <c r="B76" s="20" t="s">
        <v>2</v>
      </c>
      <c r="C76" s="260">
        <v>5</v>
      </c>
      <c r="D76" s="8"/>
      <c r="E76" s="8"/>
      <c r="F76" s="9" t="s">
        <v>5</v>
      </c>
      <c r="G76" s="9" t="s">
        <v>6</v>
      </c>
      <c r="H76" s="9" t="s">
        <v>7</v>
      </c>
      <c r="I76" s="9" t="s">
        <v>29</v>
      </c>
      <c r="J76" s="9"/>
    </row>
    <row r="77" spans="1:10" x14ac:dyDescent="0.25">
      <c r="A77" s="24"/>
      <c r="B77" s="21" t="s">
        <v>3</v>
      </c>
      <c r="C77" s="13" t="s">
        <v>8</v>
      </c>
      <c r="D77" s="13"/>
      <c r="E77" s="10"/>
      <c r="F77" s="14">
        <v>3.125E-2</v>
      </c>
      <c r="G77" s="15">
        <f>(F77/12)</f>
        <v>2.6041666666666665E-3</v>
      </c>
      <c r="H77" s="263">
        <v>0.18</v>
      </c>
      <c r="I77" s="261">
        <f>H77/G77^0.5</f>
        <v>3.5272652296077762</v>
      </c>
      <c r="J77" s="44" t="s">
        <v>30</v>
      </c>
    </row>
    <row r="78" spans="1:10" x14ac:dyDescent="0.25">
      <c r="A78" s="24"/>
      <c r="B78" s="21"/>
      <c r="C78" s="10"/>
      <c r="D78" s="10"/>
      <c r="E78" s="10"/>
      <c r="F78" s="14">
        <v>1.5625E-2</v>
      </c>
      <c r="G78" s="15">
        <f>(F78/12)</f>
        <v>1.3020833333333333E-3</v>
      </c>
      <c r="H78" s="263">
        <v>0.25</v>
      </c>
      <c r="I78" s="261">
        <f>H78/G78^0.5</f>
        <v>6.9282032302755097</v>
      </c>
      <c r="J78" s="30">
        <f>(I77+I78+I79)/3</f>
        <v>3.4851561532944282</v>
      </c>
    </row>
    <row r="79" spans="1:10" x14ac:dyDescent="0.25">
      <c r="A79" s="24"/>
      <c r="B79" s="21"/>
      <c r="C79" s="10"/>
      <c r="D79" s="10"/>
      <c r="E79" s="10"/>
      <c r="F79" s="14"/>
      <c r="G79" s="15"/>
      <c r="H79" s="197"/>
      <c r="I79" s="198"/>
      <c r="J79" s="16"/>
    </row>
    <row r="80" spans="1:10" x14ac:dyDescent="0.25">
      <c r="A80" s="24"/>
      <c r="B80" s="21"/>
      <c r="C80" s="10"/>
      <c r="D80" s="10"/>
      <c r="E80" s="10"/>
      <c r="F80" s="14"/>
      <c r="G80" s="15"/>
      <c r="H80" s="197"/>
      <c r="I80" s="198"/>
      <c r="J80" s="16"/>
    </row>
    <row r="81" spans="1:10" x14ac:dyDescent="0.25">
      <c r="A81" s="24"/>
      <c r="B81" s="21"/>
      <c r="C81" s="10"/>
      <c r="D81" s="10"/>
      <c r="E81" s="10"/>
      <c r="F81" s="11"/>
      <c r="G81" s="10"/>
      <c r="H81" s="199"/>
      <c r="I81" s="199"/>
      <c r="J81" s="10"/>
    </row>
    <row r="82" spans="1:10" x14ac:dyDescent="0.25">
      <c r="A82" s="24"/>
      <c r="B82" s="21" t="s">
        <v>2</v>
      </c>
      <c r="C82" s="254">
        <v>6</v>
      </c>
      <c r="D82" s="10"/>
      <c r="E82" s="10"/>
      <c r="F82" s="11" t="s">
        <v>5</v>
      </c>
      <c r="G82" s="11" t="s">
        <v>6</v>
      </c>
      <c r="H82" s="200" t="s">
        <v>7</v>
      </c>
      <c r="I82" s="200" t="s">
        <v>29</v>
      </c>
      <c r="J82" s="10"/>
    </row>
    <row r="83" spans="1:10" x14ac:dyDescent="0.25">
      <c r="A83" s="24"/>
      <c r="B83" s="21" t="s">
        <v>3</v>
      </c>
      <c r="C83" s="13" t="s">
        <v>8</v>
      </c>
      <c r="D83" s="13"/>
      <c r="E83" s="10"/>
      <c r="F83" s="14">
        <v>3.125E-2</v>
      </c>
      <c r="G83" s="15">
        <f>(F83/12)</f>
        <v>2.6041666666666665E-3</v>
      </c>
      <c r="H83" s="263">
        <v>0.3</v>
      </c>
      <c r="I83" s="261">
        <f>H83/G83^0.5</f>
        <v>5.8787753826796276</v>
      </c>
      <c r="J83" s="44" t="s">
        <v>30</v>
      </c>
    </row>
    <row r="84" spans="1:10" x14ac:dyDescent="0.25">
      <c r="A84" s="24"/>
      <c r="B84" s="21"/>
      <c r="C84" s="10"/>
      <c r="D84" s="10"/>
      <c r="E84" s="10"/>
      <c r="F84" s="14">
        <v>1.5625E-2</v>
      </c>
      <c r="G84" s="15">
        <f>(F84/12)</f>
        <v>1.3020833333333333E-3</v>
      </c>
      <c r="H84" s="263">
        <v>0.43</v>
      </c>
      <c r="I84" s="261">
        <f>H84/G84^0.5</f>
        <v>11.916509556073876</v>
      </c>
      <c r="J84" s="30">
        <f>(I83+I84+I85)/3</f>
        <v>5.931761646251168</v>
      </c>
    </row>
    <row r="85" spans="1:10" ht="13.8" thickBot="1" x14ac:dyDescent="0.3">
      <c r="A85" s="25"/>
      <c r="B85" s="22"/>
      <c r="C85" s="18"/>
      <c r="D85" s="18"/>
      <c r="E85" s="18"/>
      <c r="F85" s="26"/>
      <c r="G85" s="27"/>
      <c r="H85" s="201"/>
      <c r="I85" s="202"/>
      <c r="J85" s="18"/>
    </row>
    <row r="86" spans="1:10" ht="13.8" thickTop="1" x14ac:dyDescent="0.25"/>
  </sheetData>
  <mergeCells count="2">
    <mergeCell ref="B40:D40"/>
    <mergeCell ref="X3:AC3"/>
  </mergeCells>
  <phoneticPr fontId="6" type="noConversion"/>
  <pageMargins left="0.75" right="0.75" top="1" bottom="1" header="0.5" footer="0.5"/>
  <pageSetup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topLeftCell="A2" workbookViewId="0">
      <selection activeCell="AA23" sqref="AA23"/>
    </sheetView>
  </sheetViews>
  <sheetFormatPr defaultRowHeight="13.2"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c79c94c-56e1-47e7-bee7-1e39e82c9ae5">
      <Terms xmlns="http://schemas.microsoft.com/office/infopath/2007/PartnerControls"/>
    </lcf76f155ced4ddcb4097134ff3c332f>
    <TaxCatchAll xmlns="73fb875a-8af9-4255-b008-0995492d31cd"/>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8215BE232CA640BFA6EFE07C8C827F" ma:contentTypeVersion="13" ma:contentTypeDescription="Create a new document." ma:contentTypeScope="" ma:versionID="292b1f55e281012ddfa20a3ff1328355">
  <xsd:schema xmlns:xsd="http://www.w3.org/2001/XMLSchema" xmlns:xs="http://www.w3.org/2001/XMLSchema" xmlns:p="http://schemas.microsoft.com/office/2006/metadata/properties" xmlns:ns2="3c79c94c-56e1-47e7-bee7-1e39e82c9ae5" xmlns:ns3="7f7605c0-9ab6-447f-b9b6-347cfff7b85f" xmlns:ns4="73fb875a-8af9-4255-b008-0995492d31cd" targetNamespace="http://schemas.microsoft.com/office/2006/metadata/properties" ma:root="true" ma:fieldsID="cfebeda6b5e516a5abdbf7183ada1774" ns2:_="" ns3:_="" ns4:_="">
    <xsd:import namespace="3c79c94c-56e1-47e7-bee7-1e39e82c9ae5"/>
    <xsd:import namespace="7f7605c0-9ab6-447f-b9b6-347cfff7b85f"/>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79c94c-56e1-47e7-bee7-1e39e82c9a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f7605c0-9ab6-447f-b9b6-347cfff7b85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6994d92a-67a8-4341-806c-f3a253d4e7c8}" ma:internalName="TaxCatchAll" ma:showField="CatchAllData" ma:web="7f7605c0-9ab6-447f-b9b6-347cfff7b85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565897-C531-4A00-80E1-16FCED6C6B0A}">
  <ds:schemaRefs>
    <ds:schemaRef ds:uri="http://schemas.microsoft.com/office/2006/metadata/properties"/>
    <ds:schemaRef ds:uri="http://schemas.microsoft.com/office/infopath/2007/PartnerControls"/>
    <ds:schemaRef ds:uri="3c79c94c-56e1-47e7-bee7-1e39e82c9ae5"/>
    <ds:schemaRef ds:uri="73fb875a-8af9-4255-b008-0995492d31cd"/>
  </ds:schemaRefs>
</ds:datastoreItem>
</file>

<file path=customXml/itemProps2.xml><?xml version="1.0" encoding="utf-8"?>
<ds:datastoreItem xmlns:ds="http://schemas.openxmlformats.org/officeDocument/2006/customXml" ds:itemID="{1B13FF4E-C849-426C-A20C-B3008B6102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79c94c-56e1-47e7-bee7-1e39e82c9ae5"/>
    <ds:schemaRef ds:uri="7f7605c0-9ab6-447f-b9b6-347cfff7b85f"/>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D900214-8314-4FEA-94F9-B0EB9132D7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Main- Standard Gutter Fall </vt:lpstr>
      <vt:lpstr>Variable Gutter Fall</vt:lpstr>
      <vt:lpstr>Support</vt:lpstr>
      <vt:lpstr>Formulas for Hand Calculations</vt:lpstr>
      <vt:lpstr>'Main- Standard Gutter Fall '!Print_Area</vt:lpstr>
      <vt:lpstr>Support!Print_Area</vt:lpstr>
      <vt:lpstr>'Variable Gutter Fall'!Print_Area</vt:lpstr>
    </vt:vector>
  </TitlesOfParts>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geoffrey.cerrelli</dc:creator>
  <cp:lastModifiedBy>Evans, Ted - NRCS, Harrisburg, PA</cp:lastModifiedBy>
  <cp:lastPrinted>2007-08-31T14:31:39Z</cp:lastPrinted>
  <dcterms:created xsi:type="dcterms:W3CDTF">2006-04-06T19:15:53Z</dcterms:created>
  <dcterms:modified xsi:type="dcterms:W3CDTF">2022-08-23T19:01:11Z</dcterms:modified>
</cp:coreProperties>
</file>