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RCS\Ted Evans\Teds Work\0000-Web Migration\"/>
    </mc:Choice>
  </mc:AlternateContent>
  <xr:revisionPtr revIDLastSave="0" documentId="8_{FB1B6502-6187-4D9D-9CC7-223B5CEC271C}" xr6:coauthVersionLast="47" xr6:coauthVersionMax="47" xr10:uidLastSave="{00000000-0000-0000-0000-000000000000}"/>
  <bookViews>
    <workbookView xWindow="1212" yWindow="-108" windowWidth="21936" windowHeight="13176" xr2:uid="{00000000-000D-0000-FFFF-FFFF00000000}"/>
  </bookViews>
  <sheets>
    <sheet name="PA-SS-004 Stg Structure Sizes " sheetId="1" r:id="rId1"/>
  </sheets>
  <definedNames>
    <definedName name="_xlnm.Print_Area" localSheetId="0">'PA-SS-004 Stg Structure Sizes '!$A$1:$I$72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4" i="1"/>
  <c r="C25" i="1"/>
  <c r="E25" i="1"/>
  <c r="C30" i="1"/>
  <c r="C33" i="1"/>
  <c r="F45" i="1"/>
  <c r="E47" i="1"/>
  <c r="F47" i="1"/>
  <c r="F48" i="1"/>
  <c r="F57" i="1"/>
  <c r="F59" i="1"/>
  <c r="F60" i="1"/>
  <c r="C61" i="1"/>
  <c r="F61" i="1"/>
  <c r="C62" i="1"/>
  <c r="F62" i="1"/>
  <c r="C32" i="1"/>
  <c r="C34" i="1"/>
  <c r="C43" i="1"/>
  <c r="F43" i="1"/>
  <c r="H23" i="1"/>
  <c r="H32" i="1"/>
  <c r="H20" i="1"/>
  <c r="H31" i="1"/>
  <c r="C44" i="1"/>
  <c r="C56" i="1"/>
  <c r="C63" i="1"/>
  <c r="F63" i="1"/>
  <c r="H26" i="1"/>
  <c r="H33" i="1"/>
  <c r="C55" i="1"/>
  <c r="F55" i="1"/>
  <c r="C42" i="1"/>
  <c r="F42" i="1"/>
  <c r="C54" i="1"/>
  <c r="F54" i="1"/>
  <c r="F56" i="1"/>
  <c r="G60" i="1"/>
  <c r="C58" i="1"/>
  <c r="F58" i="1"/>
  <c r="F44" i="1"/>
  <c r="C46" i="1"/>
  <c r="F46" i="1"/>
  <c r="H35" i="1"/>
  <c r="F67" i="1"/>
</calcChain>
</file>

<file path=xl/sharedStrings.xml><?xml version="1.0" encoding="utf-8"?>
<sst xmlns="http://schemas.openxmlformats.org/spreadsheetml/2006/main" count="163" uniqueCount="104">
  <si>
    <t>STORAGE DURATION</t>
  </si>
  <si>
    <t>STORAGE VOLUME</t>
  </si>
  <si>
    <t>STORAGE HEIGHT</t>
  </si>
  <si>
    <t>FREEBOARD AND PRECIP</t>
  </si>
  <si>
    <t>STORAGE DIAMETER</t>
  </si>
  <si>
    <t>WALL THICKNESS</t>
  </si>
  <si>
    <t>FLOOR THICKNESS</t>
  </si>
  <si>
    <t>FOOTER WIDTH</t>
  </si>
  <si>
    <t>FLOOR AREA</t>
  </si>
  <si>
    <t>FOOTER AREA</t>
  </si>
  <si>
    <t>CIRCUMFERENCE OF TANK</t>
  </si>
  <si>
    <t>DAYS</t>
  </si>
  <si>
    <t>CF</t>
  </si>
  <si>
    <t>FT</t>
  </si>
  <si>
    <t>SF</t>
  </si>
  <si>
    <t>FOOTER HEIGHT</t>
  </si>
  <si>
    <t xml:space="preserve"> </t>
  </si>
  <si>
    <t>CONCRETE VOLUMES</t>
  </si>
  <si>
    <t>CY</t>
  </si>
  <si>
    <t>WALL:=</t>
  </si>
  <si>
    <t>FLOOR:=</t>
  </si>
  <si>
    <t>FLOOR AREA*FLOOR THICKNESS</t>
  </si>
  <si>
    <t>=</t>
  </si>
  <si>
    <t>FOOTER:=</t>
  </si>
  <si>
    <t>CIRCUMF.*HEIGHT OF WALL*WALL THICKNESS</t>
  </si>
  <si>
    <t>TANK CIRCUMF*FOOTER AREA</t>
  </si>
  <si>
    <t>CONCRETE COST</t>
  </si>
  <si>
    <t>WALL=</t>
  </si>
  <si>
    <t>FLOOR=</t>
  </si>
  <si>
    <t>FOOTER=</t>
  </si>
  <si>
    <t>TANK HEIGHT</t>
  </si>
  <si>
    <t>TANK WALL THICKNESS</t>
  </si>
  <si>
    <t>DIAMETER</t>
  </si>
  <si>
    <t>ALL</t>
  </si>
  <si>
    <t>FOOTING WIDTH</t>
  </si>
  <si>
    <t>FOOTING THICKNESS</t>
  </si>
  <si>
    <t>10"</t>
  </si>
  <si>
    <t>8'</t>
  </si>
  <si>
    <t>10'</t>
  </si>
  <si>
    <t>12'</t>
  </si>
  <si>
    <t>14'</t>
  </si>
  <si>
    <t>8"</t>
  </si>
  <si>
    <t>FT (ROUNDED)</t>
  </si>
  <si>
    <t>TONS</t>
  </si>
  <si>
    <t>INCHES</t>
  </si>
  <si>
    <t>4" PERIMETER DRAIN</t>
  </si>
  <si>
    <t>4" FOUNDATION DRAIN OUTLET</t>
  </si>
  <si>
    <t>L.F.</t>
  </si>
  <si>
    <t>AASHTO #57 THICKNESS SUBBASE</t>
  </si>
  <si>
    <t>AASHTO #57 SUBBASE</t>
  </si>
  <si>
    <t>AASHTO #57 FOR F.D.</t>
  </si>
  <si>
    <t>MATERIAL</t>
  </si>
  <si>
    <t>QUANTITY</t>
  </si>
  <si>
    <t>UNITS</t>
  </si>
  <si>
    <t>COST/UNIT</t>
  </si>
  <si>
    <t xml:space="preserve">COST </t>
  </si>
  <si>
    <t>4" SCH 40 PVC, ASTM D-1785</t>
  </si>
  <si>
    <t>ANIMAL GUARD</t>
  </si>
  <si>
    <t>EA</t>
  </si>
  <si>
    <t>GEOTEXTILE</t>
  </si>
  <si>
    <t>S.Y.</t>
  </si>
  <si>
    <t>6" FOUNDATION DRAIN OUTLET</t>
  </si>
  <si>
    <t>6" PERIMETER DRAIN</t>
  </si>
  <si>
    <t>6" SCH 40 PVC, ASTM D-1785</t>
  </si>
  <si>
    <t>FOR 6" FOUNDATION DRAIN</t>
  </si>
  <si>
    <t>FOR 4" FOUNDATION DRAIN</t>
  </si>
  <si>
    <t>OTHER COMPONENTS</t>
  </si>
  <si>
    <t>AASHTO #57 FOR PAD</t>
  </si>
  <si>
    <t>20' X 20' AGITATION PAD</t>
  </si>
  <si>
    <t>CHAIN LINK FENCING</t>
  </si>
  <si>
    <t>LF.</t>
  </si>
  <si>
    <t>CY.</t>
  </si>
  <si>
    <t>TR-9 DESIGN - EVEN BACKFILL (MARCH 1998)</t>
  </si>
  <si>
    <t>County Information</t>
  </si>
  <si>
    <t>25 Year Storm (in.)=</t>
  </si>
  <si>
    <t>Storage Duration Precip-Evap (in.)=</t>
  </si>
  <si>
    <t>Note: This worksheet includes 0.5' for pump out and 0.5' for freeboard</t>
  </si>
  <si>
    <t>Cext</t>
  </si>
  <si>
    <r>
      <t>C</t>
    </r>
    <r>
      <rPr>
        <sz val="8"/>
        <rFont val="Arial"/>
        <family val="2"/>
      </rPr>
      <t>ext</t>
    </r>
  </si>
  <si>
    <t>12'=1'</t>
  </si>
  <si>
    <t>14"=1.17'</t>
  </si>
  <si>
    <t>15"=1.25'</t>
  </si>
  <si>
    <t>30"=2.5'</t>
  </si>
  <si>
    <t>36"=3'</t>
  </si>
  <si>
    <t>48"=4'</t>
  </si>
  <si>
    <t>60"=5'</t>
  </si>
  <si>
    <t>12"=1'</t>
  </si>
  <si>
    <t>10"=.83'</t>
  </si>
  <si>
    <t>FLOOR THICKNESS IS 5" (0.42') FOR ALL TANKS</t>
  </si>
  <si>
    <t>$/CY</t>
  </si>
  <si>
    <t>WALL COST PER UNIT=</t>
  </si>
  <si>
    <t>FOOTER COST PER UNIT=</t>
  </si>
  <si>
    <t>FLOOR COST PER UNIT=</t>
  </si>
  <si>
    <t>ESTIMATED CONCRETE TOTAL=</t>
  </si>
  <si>
    <t>PUSH OFF</t>
  </si>
  <si>
    <t>MANURE TRANSFER</t>
  </si>
  <si>
    <t>ETC.</t>
  </si>
  <si>
    <t>ESTIMATED TOTAL=</t>
  </si>
  <si>
    <t>STORAGE STRUCTURE SIZES AND COSTS-EVEN BACKFILL TANK, USING PA-TR9 DRAWINGS</t>
  </si>
  <si>
    <t>PA-SS-004</t>
  </si>
  <si>
    <t>2/02</t>
  </si>
  <si>
    <t>EFFECTIVE HEIGHT</t>
  </si>
  <si>
    <t>PLUS EXCAVATION &amp; BACKFILL</t>
  </si>
  <si>
    <t>Storag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</si>
</sst>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000"/>
    <numFmt numFmtId="167" formatCode="m/d"/>
  </numFmts>
  <fonts count="7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0" xfId="0" applyBorder="1"/>
    <xf numFmtId="0" fontId="4" fillId="0" borderId="0" xfId="0" applyFont="1" applyBorder="1" applyAlignment="1">
      <alignment horizontal="right"/>
    </xf>
    <xf numFmtId="0" fontId="0" fillId="0" borderId="5" xfId="0" applyBorder="1"/>
    <xf numFmtId="0" fontId="0" fillId="0" borderId="0" xfId="0" quotePrefix="1" applyBorder="1" applyAlignment="1">
      <alignment horizontal="right"/>
    </xf>
    <xf numFmtId="165" fontId="0" fillId="0" borderId="0" xfId="0" applyNumberFormat="1" applyBorder="1"/>
    <xf numFmtId="0" fontId="0" fillId="0" borderId="0" xfId="0" applyBorder="1" applyAlignment="1">
      <alignment horizontal="right"/>
    </xf>
    <xf numFmtId="1" fontId="0" fillId="0" borderId="0" xfId="0" applyNumberFormat="1" applyBorder="1"/>
    <xf numFmtId="0" fontId="0" fillId="0" borderId="4" xfId="0" applyBorder="1"/>
    <xf numFmtId="0" fontId="2" fillId="0" borderId="0" xfId="0" applyFont="1" applyBorder="1"/>
    <xf numFmtId="44" fontId="0" fillId="0" borderId="0" xfId="2" applyFont="1" applyBorder="1"/>
    <xf numFmtId="44" fontId="0" fillId="0" borderId="0" xfId="0" applyNumberFormat="1" applyBorder="1"/>
    <xf numFmtId="0" fontId="0" fillId="0" borderId="6" xfId="0" applyBorder="1"/>
    <xf numFmtId="0" fontId="3" fillId="0" borderId="0" xfId="0" applyFont="1" applyAlignment="1">
      <alignment horizontal="center"/>
    </xf>
    <xf numFmtId="166" fontId="0" fillId="0" borderId="0" xfId="0" applyNumberFormat="1" applyAlignment="1">
      <alignment horizontal="left" indent="1"/>
    </xf>
    <xf numFmtId="165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44" fontId="0" fillId="0" borderId="0" xfId="2" applyFont="1" applyFill="1" applyBorder="1"/>
    <xf numFmtId="44" fontId="3" fillId="0" borderId="0" xfId="0" applyNumberFormat="1" applyFont="1" applyBorder="1"/>
    <xf numFmtId="165" fontId="4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3" fillId="0" borderId="5" xfId="0" applyNumberFormat="1" applyFont="1" applyBorder="1"/>
    <xf numFmtId="0" fontId="3" fillId="0" borderId="7" xfId="0" applyFont="1" applyBorder="1" applyAlignment="1">
      <alignment horizontal="center"/>
    </xf>
    <xf numFmtId="165" fontId="0" fillId="0" borderId="7" xfId="0" applyNumberFormat="1" applyFill="1" applyBorder="1"/>
    <xf numFmtId="0" fontId="3" fillId="0" borderId="7" xfId="0" applyFont="1" applyFill="1" applyBorder="1" applyAlignment="1">
      <alignment horizontal="center"/>
    </xf>
    <xf numFmtId="44" fontId="3" fillId="0" borderId="8" xfId="0" applyNumberFormat="1" applyFont="1" applyBorder="1"/>
    <xf numFmtId="44" fontId="0" fillId="0" borderId="0" xfId="0" quotePrefix="1" applyNumberFormat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5" fontId="0" fillId="0" borderId="2" xfId="0" applyNumberFormat="1" applyFill="1" applyBorder="1"/>
    <xf numFmtId="0" fontId="3" fillId="0" borderId="2" xfId="0" applyFont="1" applyFill="1" applyBorder="1" applyAlignment="1">
      <alignment horizontal="center"/>
    </xf>
    <xf numFmtId="44" fontId="0" fillId="0" borderId="2" xfId="2" applyFont="1" applyFill="1" applyBorder="1"/>
    <xf numFmtId="44" fontId="3" fillId="0" borderId="3" xfId="0" applyNumberFormat="1" applyFont="1" applyBorder="1"/>
    <xf numFmtId="0" fontId="0" fillId="0" borderId="7" xfId="0" applyBorder="1"/>
    <xf numFmtId="44" fontId="0" fillId="0" borderId="7" xfId="0" applyNumberFormat="1" applyBorder="1"/>
    <xf numFmtId="0" fontId="0" fillId="0" borderId="8" xfId="0" applyBorder="1"/>
    <xf numFmtId="165" fontId="0" fillId="0" borderId="7" xfId="0" applyNumberFormat="1" applyBorder="1"/>
    <xf numFmtId="0" fontId="3" fillId="0" borderId="0" xfId="0" applyFont="1" applyAlignment="1">
      <alignment horizontal="left"/>
    </xf>
    <xf numFmtId="0" fontId="0" fillId="2" borderId="9" xfId="0" applyFill="1" applyBorder="1"/>
    <xf numFmtId="0" fontId="3" fillId="2" borderId="9" xfId="0" applyFont="1" applyFill="1" applyBorder="1"/>
    <xf numFmtId="2" fontId="0" fillId="2" borderId="9" xfId="0" applyNumberFormat="1" applyFill="1" applyBorder="1"/>
    <xf numFmtId="165" fontId="0" fillId="2" borderId="9" xfId="0" applyNumberFormat="1" applyFill="1" applyBorder="1"/>
    <xf numFmtId="165" fontId="0" fillId="2" borderId="9" xfId="1" applyNumberFormat="1" applyFont="1" applyFill="1" applyBorder="1"/>
    <xf numFmtId="2" fontId="0" fillId="0" borderId="0" xfId="0" applyNumberFormat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164" fontId="3" fillId="2" borderId="9" xfId="1" applyNumberFormat="1" applyFont="1" applyFill="1" applyBorder="1"/>
    <xf numFmtId="165" fontId="5" fillId="3" borderId="10" xfId="0" applyNumberFormat="1" applyFont="1" applyFill="1" applyBorder="1" applyAlignment="1">
      <alignment horizontal="left"/>
    </xf>
    <xf numFmtId="0" fontId="5" fillId="3" borderId="11" xfId="0" applyFont="1" applyFill="1" applyBorder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44" fontId="0" fillId="2" borderId="12" xfId="2" applyFont="1" applyFill="1" applyBorder="1"/>
    <xf numFmtId="44" fontId="0" fillId="2" borderId="13" xfId="2" applyFont="1" applyFill="1" applyBorder="1"/>
    <xf numFmtId="44" fontId="0" fillId="0" borderId="0" xfId="0" applyNumberFormat="1" applyBorder="1" applyAlignment="1">
      <alignment horizontal="right"/>
    </xf>
    <xf numFmtId="165" fontId="0" fillId="0" borderId="0" xfId="1" applyNumberFormat="1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0" fillId="3" borderId="0" xfId="0" applyFill="1"/>
    <xf numFmtId="0" fontId="3" fillId="3" borderId="0" xfId="0" applyFont="1" applyFill="1" applyBorder="1" applyAlignment="1">
      <alignment horizontal="right"/>
    </xf>
    <xf numFmtId="44" fontId="0" fillId="3" borderId="0" xfId="0" applyNumberFormat="1" applyFill="1" applyBorder="1"/>
    <xf numFmtId="167" fontId="3" fillId="0" borderId="0" xfId="0" quotePrefix="1" applyNumberFormat="1" applyFont="1" applyAlignment="1">
      <alignment horizontal="right"/>
    </xf>
    <xf numFmtId="0" fontId="1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2"/>
  <sheetViews>
    <sheetView tabSelected="1" zoomScale="70" workbookViewId="0">
      <selection sqref="A1:I72"/>
    </sheetView>
  </sheetViews>
  <sheetFormatPr defaultRowHeight="13.2" x14ac:dyDescent="0.25"/>
  <cols>
    <col min="1" max="1" width="6.88671875" customWidth="1"/>
    <col min="2" max="2" width="40.6640625" customWidth="1"/>
    <col min="3" max="3" width="26.44140625" customWidth="1"/>
    <col min="4" max="4" width="16.33203125" customWidth="1"/>
    <col min="5" max="5" width="17.44140625" customWidth="1"/>
    <col min="6" max="6" width="18.109375" customWidth="1"/>
    <col min="7" max="7" width="25.5546875" customWidth="1"/>
    <col min="8" max="8" width="12.88671875" customWidth="1"/>
    <col min="9" max="9" width="35" customWidth="1"/>
  </cols>
  <sheetData>
    <row r="1" spans="1:8" x14ac:dyDescent="0.25">
      <c r="A1" s="77" t="s">
        <v>103</v>
      </c>
      <c r="B1" s="36" t="s">
        <v>99</v>
      </c>
      <c r="E1" s="76" t="s">
        <v>100</v>
      </c>
    </row>
    <row r="2" spans="1:8" x14ac:dyDescent="0.25">
      <c r="B2" s="1" t="s">
        <v>98</v>
      </c>
    </row>
    <row r="3" spans="1:8" x14ac:dyDescent="0.25">
      <c r="B3" s="1"/>
      <c r="G3" s="21" t="s">
        <v>16</v>
      </c>
    </row>
    <row r="4" spans="1:8" x14ac:dyDescent="0.25">
      <c r="B4" s="1" t="s">
        <v>72</v>
      </c>
    </row>
    <row r="5" spans="1:8" x14ac:dyDescent="0.25">
      <c r="B5" s="2" t="s">
        <v>30</v>
      </c>
      <c r="C5" s="2" t="s">
        <v>31</v>
      </c>
      <c r="D5" s="2" t="s">
        <v>32</v>
      </c>
      <c r="E5" s="2" t="s">
        <v>77</v>
      </c>
      <c r="F5" s="2" t="s">
        <v>34</v>
      </c>
      <c r="G5" s="2" t="s">
        <v>35</v>
      </c>
    </row>
    <row r="6" spans="1:8" x14ac:dyDescent="0.25">
      <c r="B6" s="20" t="s">
        <v>37</v>
      </c>
      <c r="C6" s="20" t="s">
        <v>41</v>
      </c>
      <c r="D6" s="20" t="s">
        <v>33</v>
      </c>
      <c r="E6" s="20" t="s">
        <v>79</v>
      </c>
      <c r="F6" s="20" t="s">
        <v>82</v>
      </c>
      <c r="G6" s="20" t="s">
        <v>87</v>
      </c>
    </row>
    <row r="7" spans="1:8" x14ac:dyDescent="0.25">
      <c r="B7" s="20" t="s">
        <v>38</v>
      </c>
      <c r="C7" s="20" t="s">
        <v>41</v>
      </c>
      <c r="D7" s="20" t="s">
        <v>33</v>
      </c>
      <c r="E7" s="20" t="s">
        <v>80</v>
      </c>
      <c r="F7" s="20" t="s">
        <v>83</v>
      </c>
      <c r="G7" s="20" t="s">
        <v>86</v>
      </c>
    </row>
    <row r="8" spans="1:8" x14ac:dyDescent="0.25">
      <c r="B8" s="20" t="s">
        <v>39</v>
      </c>
      <c r="C8" s="20" t="s">
        <v>36</v>
      </c>
      <c r="D8" s="20" t="s">
        <v>33</v>
      </c>
      <c r="E8" s="20" t="s">
        <v>80</v>
      </c>
      <c r="F8" s="20" t="s">
        <v>84</v>
      </c>
      <c r="G8" s="20" t="s">
        <v>86</v>
      </c>
      <c r="H8" t="s">
        <v>16</v>
      </c>
    </row>
    <row r="9" spans="1:8" x14ac:dyDescent="0.25">
      <c r="B9" s="20" t="s">
        <v>40</v>
      </c>
      <c r="C9" s="20" t="s">
        <v>36</v>
      </c>
      <c r="D9" s="20" t="s">
        <v>33</v>
      </c>
      <c r="E9" s="20" t="s">
        <v>81</v>
      </c>
      <c r="F9" s="20" t="s">
        <v>85</v>
      </c>
      <c r="G9" s="20" t="s">
        <v>86</v>
      </c>
    </row>
    <row r="10" spans="1:8" x14ac:dyDescent="0.25">
      <c r="B10" s="48" t="s">
        <v>88</v>
      </c>
      <c r="C10" s="20"/>
      <c r="D10" s="20"/>
      <c r="E10" s="63"/>
      <c r="F10" s="20"/>
      <c r="G10" s="20"/>
    </row>
    <row r="11" spans="1:8" ht="13.8" thickBot="1" x14ac:dyDescent="0.3">
      <c r="B11" s="20"/>
      <c r="C11" s="20"/>
      <c r="D11" s="20"/>
      <c r="E11" s="64"/>
      <c r="F11" s="20"/>
      <c r="G11" s="20"/>
    </row>
    <row r="12" spans="1:8" ht="13.8" thickBot="1" x14ac:dyDescent="0.3">
      <c r="B12" s="56" t="s">
        <v>73</v>
      </c>
      <c r="C12" s="57"/>
      <c r="D12" s="20"/>
      <c r="E12" s="20"/>
      <c r="F12" s="20"/>
      <c r="G12" s="20"/>
    </row>
    <row r="13" spans="1:8" ht="13.8" thickBot="1" x14ac:dyDescent="0.3">
      <c r="B13" s="58" t="s">
        <v>74</v>
      </c>
      <c r="C13" s="55">
        <v>4.9000000000000004</v>
      </c>
      <c r="D13" s="20"/>
      <c r="E13" s="20"/>
      <c r="F13" s="20"/>
      <c r="G13" s="20"/>
    </row>
    <row r="14" spans="1:8" ht="13.8" thickBot="1" x14ac:dyDescent="0.3">
      <c r="B14" s="59" t="s">
        <v>75</v>
      </c>
      <c r="C14" s="55">
        <v>11.47</v>
      </c>
      <c r="E14" s="20"/>
      <c r="F14" s="20"/>
      <c r="G14" s="20"/>
    </row>
    <row r="15" spans="1:8" x14ac:dyDescent="0.25">
      <c r="B15" s="48" t="s">
        <v>76</v>
      </c>
      <c r="C15" s="20"/>
      <c r="D15" s="20"/>
      <c r="E15" s="20"/>
      <c r="F15" s="20"/>
      <c r="G15" s="20"/>
    </row>
    <row r="16" spans="1:8" x14ac:dyDescent="0.25">
      <c r="B16" s="20"/>
      <c r="C16" s="20"/>
      <c r="D16" s="20"/>
      <c r="E16" s="20"/>
      <c r="F16" s="20"/>
      <c r="G16" s="20"/>
    </row>
    <row r="17" spans="2:13" ht="13.8" thickBot="1" x14ac:dyDescent="0.3">
      <c r="B17" s="1"/>
    </row>
    <row r="18" spans="2:13" ht="13.8" thickBot="1" x14ac:dyDescent="0.3">
      <c r="B18" s="3" t="s">
        <v>16</v>
      </c>
      <c r="C18" s="4"/>
      <c r="D18" s="4"/>
      <c r="E18" s="4"/>
      <c r="F18" s="5" t="s">
        <v>17</v>
      </c>
      <c r="G18" s="4"/>
      <c r="H18" s="4"/>
      <c r="I18" s="6"/>
      <c r="M18" s="2" t="s">
        <v>16</v>
      </c>
    </row>
    <row r="19" spans="2:13" ht="13.8" thickBot="1" x14ac:dyDescent="0.3">
      <c r="B19" s="7" t="s">
        <v>0</v>
      </c>
      <c r="C19" s="50">
        <v>180</v>
      </c>
      <c r="D19" s="8" t="s">
        <v>11</v>
      </c>
      <c r="E19" s="8"/>
      <c r="F19" s="8"/>
      <c r="G19" s="9" t="s">
        <v>19</v>
      </c>
      <c r="H19" s="8" t="s">
        <v>24</v>
      </c>
      <c r="I19" s="10"/>
    </row>
    <row r="20" spans="2:13" ht="13.8" thickBot="1" x14ac:dyDescent="0.3">
      <c r="B20" s="7" t="s">
        <v>1</v>
      </c>
      <c r="C20" s="60">
        <v>33903</v>
      </c>
      <c r="D20" s="8" t="s">
        <v>12</v>
      </c>
      <c r="E20" s="8"/>
      <c r="F20" s="8"/>
      <c r="G20" s="11" t="s">
        <v>22</v>
      </c>
      <c r="H20" s="12">
        <f>C34*C22*C27/27</f>
        <v>84.71935237147467</v>
      </c>
      <c r="I20" s="10" t="s">
        <v>18</v>
      </c>
    </row>
    <row r="21" spans="2:13" ht="13.8" thickBot="1" x14ac:dyDescent="0.3">
      <c r="B21" s="7"/>
      <c r="C21" s="8" t="s">
        <v>16</v>
      </c>
      <c r="D21" s="8"/>
      <c r="E21" s="8"/>
      <c r="F21" s="8"/>
      <c r="G21" s="8"/>
      <c r="H21" s="8"/>
      <c r="I21" s="10"/>
    </row>
    <row r="22" spans="2:13" ht="13.8" thickBot="1" x14ac:dyDescent="0.3">
      <c r="B22" s="7" t="s">
        <v>2</v>
      </c>
      <c r="C22" s="50">
        <v>14</v>
      </c>
      <c r="D22" s="8" t="s">
        <v>13</v>
      </c>
      <c r="E22" s="8"/>
      <c r="F22" s="8"/>
      <c r="G22" s="13" t="s">
        <v>20</v>
      </c>
      <c r="H22" s="8" t="s">
        <v>21</v>
      </c>
      <c r="I22" s="10"/>
    </row>
    <row r="23" spans="2:13" x14ac:dyDescent="0.25">
      <c r="B23" s="7" t="s">
        <v>3</v>
      </c>
      <c r="C23" s="54">
        <f>C13/12+C14/12+1</f>
        <v>2.3641666666666667</v>
      </c>
      <c r="D23" s="8" t="s">
        <v>13</v>
      </c>
      <c r="E23" s="8"/>
      <c r="F23" s="8"/>
      <c r="G23" s="11" t="s">
        <v>22</v>
      </c>
      <c r="H23" s="12">
        <f>C28*3.14159*(E25/2-(C30-C29-C27))^2/27</f>
        <v>37.172652839404442</v>
      </c>
      <c r="I23" s="10" t="s">
        <v>18</v>
      </c>
    </row>
    <row r="24" spans="2:13" x14ac:dyDescent="0.25">
      <c r="B24" s="7" t="s">
        <v>101</v>
      </c>
      <c r="C24" s="54">
        <f>C22-C23</f>
        <v>11.635833333333334</v>
      </c>
      <c r="D24" s="8" t="s">
        <v>13</v>
      </c>
      <c r="E24" s="8"/>
      <c r="F24" s="8"/>
      <c r="G24" s="8"/>
      <c r="H24" s="8"/>
      <c r="I24" s="10"/>
    </row>
    <row r="25" spans="2:13" x14ac:dyDescent="0.25">
      <c r="B25" s="7" t="s">
        <v>4</v>
      </c>
      <c r="C25" s="12">
        <f>((C20/C24)*1.273)^0.5</f>
        <v>60.902415890191953</v>
      </c>
      <c r="D25" s="8" t="s">
        <v>13</v>
      </c>
      <c r="E25" s="61">
        <f>ROUNDUP(C25,0)</f>
        <v>61</v>
      </c>
      <c r="F25" s="62" t="s">
        <v>42</v>
      </c>
      <c r="G25" s="13" t="s">
        <v>23</v>
      </c>
      <c r="H25" s="8" t="s">
        <v>25</v>
      </c>
      <c r="I25" s="10"/>
    </row>
    <row r="26" spans="2:13" ht="13.8" thickBot="1" x14ac:dyDescent="0.3">
      <c r="B26" s="15"/>
      <c r="C26" s="8" t="s">
        <v>16</v>
      </c>
      <c r="D26" s="8"/>
      <c r="E26" s="8"/>
      <c r="F26" s="8"/>
      <c r="G26" s="11" t="s">
        <v>22</v>
      </c>
      <c r="H26" s="12">
        <f>C34*C33/27</f>
        <v>36.454110314748149</v>
      </c>
      <c r="I26" s="10" t="s">
        <v>18</v>
      </c>
    </row>
    <row r="27" spans="2:13" ht="13.8" thickBot="1" x14ac:dyDescent="0.3">
      <c r="B27" s="7" t="s">
        <v>5</v>
      </c>
      <c r="C27" s="51">
        <v>0.83</v>
      </c>
      <c r="D27" s="8" t="s">
        <v>13</v>
      </c>
      <c r="E27" s="8"/>
      <c r="F27" s="16" t="s">
        <v>26</v>
      </c>
      <c r="G27" s="8"/>
      <c r="H27" s="8"/>
      <c r="I27" s="10"/>
    </row>
    <row r="28" spans="2:13" ht="13.8" thickBot="1" x14ac:dyDescent="0.3">
      <c r="B28" s="7" t="s">
        <v>6</v>
      </c>
      <c r="C28" s="51">
        <v>0.42</v>
      </c>
      <c r="D28" s="8" t="s">
        <v>13</v>
      </c>
      <c r="E28" s="8"/>
      <c r="G28" s="65" t="s">
        <v>90</v>
      </c>
      <c r="H28" s="49">
        <v>250</v>
      </c>
      <c r="I28" s="10" t="s">
        <v>89</v>
      </c>
    </row>
    <row r="29" spans="2:13" ht="13.8" thickBot="1" x14ac:dyDescent="0.3">
      <c r="B29" s="7" t="s">
        <v>78</v>
      </c>
      <c r="C29" s="51">
        <v>1.25</v>
      </c>
      <c r="D29" s="8" t="s">
        <v>13</v>
      </c>
      <c r="E29" s="8"/>
      <c r="F29" s="16"/>
      <c r="G29" s="13" t="s">
        <v>92</v>
      </c>
      <c r="H29" s="49">
        <v>150</v>
      </c>
      <c r="I29" s="10" t="s">
        <v>89</v>
      </c>
    </row>
    <row r="30" spans="2:13" ht="13.8" thickBot="1" x14ac:dyDescent="0.3">
      <c r="B30" s="7" t="s">
        <v>7</v>
      </c>
      <c r="C30" s="52">
        <f>60/12</f>
        <v>5</v>
      </c>
      <c r="D30" s="8" t="s">
        <v>13</v>
      </c>
      <c r="E30" s="8"/>
      <c r="F30" s="8"/>
      <c r="G30" s="13" t="s">
        <v>91</v>
      </c>
      <c r="H30" s="49">
        <v>250</v>
      </c>
      <c r="I30" s="10" t="s">
        <v>89</v>
      </c>
      <c r="J30" t="s">
        <v>16</v>
      </c>
    </row>
    <row r="31" spans="2:13" ht="13.8" thickBot="1" x14ac:dyDescent="0.3">
      <c r="B31" s="7" t="s">
        <v>15</v>
      </c>
      <c r="C31" s="52">
        <v>1</v>
      </c>
      <c r="D31" s="8" t="s">
        <v>13</v>
      </c>
      <c r="E31" s="8"/>
      <c r="F31" s="8"/>
      <c r="G31" s="9" t="s">
        <v>27</v>
      </c>
      <c r="H31" s="17">
        <f>H20*H28</f>
        <v>21179.838092868667</v>
      </c>
      <c r="I31" s="10"/>
    </row>
    <row r="32" spans="2:13" x14ac:dyDescent="0.25">
      <c r="B32" s="7" t="s">
        <v>8</v>
      </c>
      <c r="C32" s="14">
        <f>3.14159*(E25/2)^2</f>
        <v>2922.4640974999998</v>
      </c>
      <c r="D32" s="8" t="s">
        <v>14</v>
      </c>
      <c r="E32" s="8"/>
      <c r="F32" s="8"/>
      <c r="G32" s="13" t="s">
        <v>28</v>
      </c>
      <c r="H32" s="17">
        <f>H23*H29*1.1</f>
        <v>6133.4877185017331</v>
      </c>
      <c r="I32" s="10"/>
    </row>
    <row r="33" spans="1:9" x14ac:dyDescent="0.25">
      <c r="B33" s="7" t="s">
        <v>9</v>
      </c>
      <c r="C33" s="12">
        <f>C30*C31</f>
        <v>5</v>
      </c>
      <c r="D33" s="8" t="s">
        <v>14</v>
      </c>
      <c r="E33" s="8"/>
      <c r="F33" s="8"/>
      <c r="G33" s="13" t="s">
        <v>29</v>
      </c>
      <c r="H33" s="17">
        <f>H26*250</f>
        <v>9113.527578687037</v>
      </c>
      <c r="I33" s="10"/>
    </row>
    <row r="34" spans="1:9" x14ac:dyDescent="0.25">
      <c r="B34" s="7" t="s">
        <v>10</v>
      </c>
      <c r="C34" s="14">
        <f>2*3.141592654*(E25+2*C27)/2</f>
        <v>196.85219569963999</v>
      </c>
      <c r="D34" s="8" t="s">
        <v>13</v>
      </c>
      <c r="E34" s="8"/>
      <c r="F34" s="8"/>
      <c r="G34" s="8"/>
      <c r="H34" s="8"/>
      <c r="I34" s="10"/>
    </row>
    <row r="35" spans="1:9" ht="13.8" thickBot="1" x14ac:dyDescent="0.3">
      <c r="B35" s="19"/>
      <c r="C35" s="44"/>
      <c r="D35" s="44"/>
      <c r="E35" s="44"/>
      <c r="F35" s="44"/>
      <c r="G35" s="66" t="s">
        <v>93</v>
      </c>
      <c r="H35" s="45">
        <f>SUM(H31:H33)</f>
        <v>36426.85339005744</v>
      </c>
      <c r="I35" s="46"/>
    </row>
    <row r="36" spans="1:9" x14ac:dyDescent="0.25">
      <c r="B36" s="8"/>
      <c r="C36" s="8"/>
      <c r="D36" s="8"/>
      <c r="E36" s="8"/>
      <c r="F36" s="8"/>
      <c r="G36" s="8"/>
      <c r="H36" s="18"/>
      <c r="I36" s="4"/>
    </row>
    <row r="37" spans="1:9" x14ac:dyDescent="0.25">
      <c r="B37" s="8"/>
      <c r="C37" s="8"/>
      <c r="D37" s="8"/>
      <c r="E37" s="8"/>
      <c r="F37" s="8"/>
      <c r="G37" s="8"/>
      <c r="H37" s="18"/>
      <c r="I37" s="8"/>
    </row>
    <row r="38" spans="1:9" ht="13.8" thickBot="1" x14ac:dyDescent="0.3">
      <c r="B38" s="8"/>
      <c r="C38" s="8"/>
      <c r="D38" s="8"/>
      <c r="E38" s="8"/>
      <c r="F38" s="8"/>
      <c r="G38" s="8"/>
      <c r="H38" s="18"/>
      <c r="I38" s="8"/>
    </row>
    <row r="39" spans="1:9" x14ac:dyDescent="0.25">
      <c r="A39" s="3" t="s">
        <v>65</v>
      </c>
      <c r="B39" s="4"/>
      <c r="C39" s="4"/>
      <c r="D39" s="4"/>
      <c r="E39" s="4"/>
      <c r="F39" s="6"/>
      <c r="G39" s="8"/>
      <c r="H39" s="18"/>
      <c r="I39" s="8"/>
    </row>
    <row r="40" spans="1:9" ht="13.8" thickBot="1" x14ac:dyDescent="0.3">
      <c r="A40" s="15"/>
      <c r="B40" s="39" t="s">
        <v>51</v>
      </c>
      <c r="C40" s="28" t="s">
        <v>52</v>
      </c>
      <c r="D40" s="28" t="s">
        <v>53</v>
      </c>
      <c r="E40" s="28" t="s">
        <v>54</v>
      </c>
      <c r="F40" s="29" t="s">
        <v>55</v>
      </c>
      <c r="G40" s="8"/>
      <c r="H40" s="18"/>
      <c r="I40" s="8"/>
    </row>
    <row r="41" spans="1:9" ht="13.8" thickBot="1" x14ac:dyDescent="0.3">
      <c r="A41" s="15"/>
      <c r="B41" s="37" t="s">
        <v>48</v>
      </c>
      <c r="C41" s="52">
        <v>4</v>
      </c>
      <c r="D41" s="23" t="s">
        <v>44</v>
      </c>
      <c r="E41" s="17" t="s">
        <v>16</v>
      </c>
      <c r="F41" s="10"/>
      <c r="G41" s="8"/>
      <c r="H41" s="8"/>
      <c r="I41" s="8"/>
    </row>
    <row r="42" spans="1:9" x14ac:dyDescent="0.25">
      <c r="A42" s="15"/>
      <c r="B42" s="37" t="s">
        <v>59</v>
      </c>
      <c r="C42" s="12">
        <f>(C32+(C29*C34))/9*1.1</f>
        <v>387.26469737077832</v>
      </c>
      <c r="D42" s="23" t="s">
        <v>60</v>
      </c>
      <c r="E42" s="67">
        <v>1</v>
      </c>
      <c r="F42" s="30">
        <f t="shared" ref="F42:F48" si="0">E42*C42</f>
        <v>387.26469737077832</v>
      </c>
      <c r="G42" s="8"/>
      <c r="H42" s="8"/>
      <c r="I42" s="8"/>
    </row>
    <row r="43" spans="1:9" x14ac:dyDescent="0.25">
      <c r="A43" s="15"/>
      <c r="B43" s="37" t="s">
        <v>49</v>
      </c>
      <c r="C43" s="12">
        <f>C41/12*3.141592654*(E25/2+C27+C29)^2/27*1.5</f>
        <v>61.753030162616398</v>
      </c>
      <c r="D43" s="23" t="s">
        <v>43</v>
      </c>
      <c r="E43" s="67">
        <v>21</v>
      </c>
      <c r="F43" s="30">
        <f t="shared" si="0"/>
        <v>1296.8136334149444</v>
      </c>
      <c r="G43" s="8"/>
      <c r="H43" s="8"/>
      <c r="I43" s="8"/>
    </row>
    <row r="44" spans="1:9" ht="13.8" thickBot="1" x14ac:dyDescent="0.3">
      <c r="A44" s="15"/>
      <c r="B44" s="37" t="s">
        <v>45</v>
      </c>
      <c r="C44" s="12">
        <f>C34</f>
        <v>196.85219569963999</v>
      </c>
      <c r="D44" s="23" t="s">
        <v>47</v>
      </c>
      <c r="E44" s="67">
        <v>1.1499999999999999</v>
      </c>
      <c r="F44" s="30">
        <f t="shared" si="0"/>
        <v>226.38002505458599</v>
      </c>
      <c r="G44" s="9"/>
      <c r="H44" s="8"/>
      <c r="I44" s="8"/>
    </row>
    <row r="45" spans="1:9" ht="13.8" thickBot="1" x14ac:dyDescent="0.3">
      <c r="A45" s="7" t="s">
        <v>16</v>
      </c>
      <c r="B45" s="37" t="s">
        <v>46</v>
      </c>
      <c r="C45" s="53">
        <v>100</v>
      </c>
      <c r="D45" s="23" t="s">
        <v>47</v>
      </c>
      <c r="E45" s="67">
        <v>1.1499999999999999</v>
      </c>
      <c r="F45" s="30">
        <f t="shared" si="0"/>
        <v>114.99999999999999</v>
      </c>
      <c r="G45" s="11"/>
      <c r="H45" s="12"/>
      <c r="I45" s="8"/>
    </row>
    <row r="46" spans="1:9" x14ac:dyDescent="0.25">
      <c r="A46" s="15"/>
      <c r="B46" s="37" t="s">
        <v>50</v>
      </c>
      <c r="C46" s="12">
        <f>C44*0.475/27*1.5</f>
        <v>5.19471071985161</v>
      </c>
      <c r="D46" s="23" t="s">
        <v>43</v>
      </c>
      <c r="E46" s="67">
        <v>21</v>
      </c>
      <c r="F46" s="30">
        <f t="shared" si="0"/>
        <v>109.08892511688381</v>
      </c>
      <c r="G46" s="8"/>
      <c r="H46" s="8"/>
      <c r="I46" s="8"/>
    </row>
    <row r="47" spans="1:9" x14ac:dyDescent="0.25">
      <c r="A47" s="15"/>
      <c r="B47" s="37" t="s">
        <v>56</v>
      </c>
      <c r="C47" s="26">
        <v>10</v>
      </c>
      <c r="D47" s="23" t="s">
        <v>47</v>
      </c>
      <c r="E47" s="67">
        <f>2.2</f>
        <v>2.2000000000000002</v>
      </c>
      <c r="F47" s="30">
        <f t="shared" si="0"/>
        <v>22</v>
      </c>
      <c r="G47" s="13"/>
      <c r="H47" s="8"/>
      <c r="I47" s="8"/>
    </row>
    <row r="48" spans="1:9" ht="13.8" thickBot="1" x14ac:dyDescent="0.3">
      <c r="A48" s="19"/>
      <c r="B48" s="38" t="s">
        <v>57</v>
      </c>
      <c r="C48" s="32">
        <v>1</v>
      </c>
      <c r="D48" s="33" t="s">
        <v>58</v>
      </c>
      <c r="E48" s="67">
        <v>5</v>
      </c>
      <c r="F48" s="34">
        <f t="shared" si="0"/>
        <v>5</v>
      </c>
      <c r="G48" s="69" t="s">
        <v>16</v>
      </c>
      <c r="H48" s="12"/>
      <c r="I48" s="8"/>
    </row>
    <row r="49" spans="1:9" ht="13.8" thickBot="1" x14ac:dyDescent="0.3">
      <c r="A49" s="8"/>
      <c r="B49" s="37"/>
      <c r="C49" s="22"/>
      <c r="D49" s="27"/>
      <c r="E49" s="24"/>
      <c r="F49" s="25"/>
      <c r="G49" s="35"/>
      <c r="H49" s="12"/>
      <c r="I49" s="8"/>
    </row>
    <row r="50" spans="1:9" x14ac:dyDescent="0.25">
      <c r="A50" s="3" t="s">
        <v>66</v>
      </c>
      <c r="B50" s="71"/>
      <c r="C50" s="40"/>
      <c r="D50" s="41"/>
      <c r="E50" s="42"/>
      <c r="F50" s="43"/>
      <c r="G50" s="11"/>
      <c r="H50" s="12"/>
      <c r="I50" s="8"/>
    </row>
    <row r="51" spans="1:9" hidden="1" x14ac:dyDescent="0.25">
      <c r="A51" s="72" t="s">
        <v>64</v>
      </c>
      <c r="B51" s="13"/>
      <c r="C51" s="12"/>
      <c r="D51" s="8"/>
      <c r="E51" s="8"/>
      <c r="F51" s="10"/>
      <c r="G51" s="8"/>
      <c r="H51" s="8"/>
      <c r="I51" s="8"/>
    </row>
    <row r="52" spans="1:9" hidden="1" x14ac:dyDescent="0.25">
      <c r="A52" s="15"/>
      <c r="B52" s="28" t="s">
        <v>51</v>
      </c>
      <c r="C52" s="28" t="s">
        <v>52</v>
      </c>
      <c r="D52" s="28" t="s">
        <v>53</v>
      </c>
      <c r="E52" s="28" t="s">
        <v>54</v>
      </c>
      <c r="F52" s="29" t="s">
        <v>55</v>
      </c>
      <c r="G52" s="13"/>
      <c r="H52" s="8"/>
      <c r="I52" s="8"/>
    </row>
    <row r="53" spans="1:9" hidden="1" x14ac:dyDescent="0.25">
      <c r="A53" s="15"/>
      <c r="B53" s="23" t="s">
        <v>48</v>
      </c>
      <c r="C53" s="12">
        <v>2</v>
      </c>
      <c r="D53" s="23" t="s">
        <v>44</v>
      </c>
      <c r="E53" s="17" t="s">
        <v>16</v>
      </c>
      <c r="F53" s="10"/>
      <c r="G53" s="11"/>
      <c r="H53" s="12"/>
      <c r="I53" s="8"/>
    </row>
    <row r="54" spans="1:9" hidden="1" x14ac:dyDescent="0.25">
      <c r="A54" s="15"/>
      <c r="B54" s="23" t="s">
        <v>59</v>
      </c>
      <c r="C54" s="12">
        <f>C32/9</f>
        <v>324.71823305555552</v>
      </c>
      <c r="D54" s="23" t="s">
        <v>60</v>
      </c>
      <c r="E54" s="17">
        <v>0.84</v>
      </c>
      <c r="F54" s="30">
        <f t="shared" ref="F54:F60" si="1">E54*C54</f>
        <v>272.76331576666661</v>
      </c>
      <c r="G54" s="8"/>
      <c r="H54" s="8"/>
      <c r="I54" s="8"/>
    </row>
    <row r="55" spans="1:9" hidden="1" x14ac:dyDescent="0.25">
      <c r="A55" s="15"/>
      <c r="B55" s="23" t="s">
        <v>49</v>
      </c>
      <c r="C55" s="12">
        <f>C32*C53/12/27*1.5</f>
        <v>27.059852754629627</v>
      </c>
      <c r="D55" s="23" t="s">
        <v>43</v>
      </c>
      <c r="E55" s="17">
        <v>21</v>
      </c>
      <c r="F55" s="30">
        <f t="shared" si="1"/>
        <v>568.25690784722212</v>
      </c>
      <c r="G55" s="8"/>
      <c r="H55" s="8"/>
      <c r="I55" s="8"/>
    </row>
    <row r="56" spans="1:9" hidden="1" x14ac:dyDescent="0.25">
      <c r="A56" s="15"/>
      <c r="B56" s="23" t="s">
        <v>62</v>
      </c>
      <c r="C56" s="12">
        <f>C34+4</f>
        <v>200.85219569963999</v>
      </c>
      <c r="D56" s="23" t="s">
        <v>47</v>
      </c>
      <c r="E56" s="17">
        <v>2.25</v>
      </c>
      <c r="F56" s="30">
        <f t="shared" si="1"/>
        <v>451.91744032419001</v>
      </c>
      <c r="G56" s="8"/>
      <c r="H56" s="8"/>
      <c r="I56" s="8"/>
    </row>
    <row r="57" spans="1:9" hidden="1" x14ac:dyDescent="0.25">
      <c r="A57" s="15"/>
      <c r="B57" s="23" t="s">
        <v>61</v>
      </c>
      <c r="C57" s="70">
        <v>200</v>
      </c>
      <c r="D57" s="23" t="s">
        <v>47</v>
      </c>
      <c r="E57" s="17">
        <v>2.25</v>
      </c>
      <c r="F57" s="30">
        <f t="shared" si="1"/>
        <v>450</v>
      </c>
      <c r="G57" s="9"/>
      <c r="H57" s="17"/>
      <c r="I57" s="8"/>
    </row>
    <row r="58" spans="1:9" hidden="1" x14ac:dyDescent="0.25">
      <c r="A58" s="15"/>
      <c r="B58" s="23" t="s">
        <v>50</v>
      </c>
      <c r="C58" s="12">
        <f>C56*0.588/27*1.5</f>
        <v>6.5611717261882401</v>
      </c>
      <c r="D58" s="23" t="s">
        <v>43</v>
      </c>
      <c r="E58" s="17">
        <v>21</v>
      </c>
      <c r="F58" s="30">
        <f t="shared" si="1"/>
        <v>137.78460624995304</v>
      </c>
      <c r="G58" s="13"/>
      <c r="H58" s="17"/>
      <c r="I58" s="8"/>
    </row>
    <row r="59" spans="1:9" hidden="1" x14ac:dyDescent="0.25">
      <c r="A59" s="15"/>
      <c r="B59" s="23" t="s">
        <v>63</v>
      </c>
      <c r="C59" s="26">
        <v>10</v>
      </c>
      <c r="D59" s="23" t="s">
        <v>47</v>
      </c>
      <c r="E59" s="24">
        <v>4.5999999999999996</v>
      </c>
      <c r="F59" s="30">
        <f t="shared" si="1"/>
        <v>46</v>
      </c>
      <c r="G59" s="13"/>
      <c r="H59" s="17"/>
      <c r="I59" s="8"/>
    </row>
    <row r="60" spans="1:9" hidden="1" x14ac:dyDescent="0.25">
      <c r="A60" s="15"/>
      <c r="B60" s="23" t="s">
        <v>57</v>
      </c>
      <c r="C60" s="22">
        <v>1</v>
      </c>
      <c r="D60" s="27" t="s">
        <v>58</v>
      </c>
      <c r="E60" s="24">
        <v>5</v>
      </c>
      <c r="F60" s="30">
        <f t="shared" si="1"/>
        <v>5</v>
      </c>
      <c r="G60" s="18">
        <f>SUM(F54:F60)</f>
        <v>1931.7222701880316</v>
      </c>
      <c r="H60" s="8"/>
      <c r="I60" s="8"/>
    </row>
    <row r="61" spans="1:9" x14ac:dyDescent="0.25">
      <c r="A61" s="15"/>
      <c r="B61" s="37" t="s">
        <v>68</v>
      </c>
      <c r="C61" s="12">
        <f>20*20*7/12/27</f>
        <v>8.6419753086419764</v>
      </c>
      <c r="D61" s="23" t="s">
        <v>71</v>
      </c>
      <c r="E61" s="67">
        <v>175</v>
      </c>
      <c r="F61" s="30">
        <f>E61*C61</f>
        <v>1512.345679012346</v>
      </c>
      <c r="G61" s="8"/>
      <c r="H61" s="18"/>
      <c r="I61" s="8"/>
    </row>
    <row r="62" spans="1:9" x14ac:dyDescent="0.25">
      <c r="A62" s="15"/>
      <c r="B62" s="37" t="s">
        <v>67</v>
      </c>
      <c r="C62" s="12">
        <f>20*20*2/12/27*1.5</f>
        <v>3.7037037037037042</v>
      </c>
      <c r="D62" s="23" t="s">
        <v>43</v>
      </c>
      <c r="E62" s="67">
        <v>21</v>
      </c>
      <c r="F62" s="30">
        <f>E62*C62</f>
        <v>77.777777777777786</v>
      </c>
      <c r="G62" s="8"/>
      <c r="H62" s="8"/>
      <c r="I62" s="8"/>
    </row>
    <row r="63" spans="1:9" ht="13.8" thickBot="1" x14ac:dyDescent="0.3">
      <c r="A63" s="19"/>
      <c r="B63" s="38" t="s">
        <v>69</v>
      </c>
      <c r="C63" s="47">
        <f>(ROUNDUP(C34,0))</f>
        <v>197</v>
      </c>
      <c r="D63" s="31" t="s">
        <v>70</v>
      </c>
      <c r="E63" s="68">
        <v>17</v>
      </c>
      <c r="F63" s="34">
        <f>E63*C63</f>
        <v>3349</v>
      </c>
    </row>
    <row r="64" spans="1:9" x14ac:dyDescent="0.25">
      <c r="B64" s="36"/>
    </row>
    <row r="65" spans="2:6" x14ac:dyDescent="0.25">
      <c r="B65" s="36"/>
    </row>
    <row r="66" spans="2:6" x14ac:dyDescent="0.25">
      <c r="B66" s="36"/>
    </row>
    <row r="67" spans="2:6" x14ac:dyDescent="0.25">
      <c r="B67" s="36"/>
      <c r="D67" s="73"/>
      <c r="E67" s="74" t="s">
        <v>97</v>
      </c>
      <c r="F67" s="75">
        <f>H35+SUM(F42:F48)+SUM(F61:F63)</f>
        <v>43527.524127804762</v>
      </c>
    </row>
    <row r="68" spans="2:6" x14ac:dyDescent="0.25">
      <c r="B68" s="36"/>
      <c r="E68" t="s">
        <v>16</v>
      </c>
    </row>
    <row r="69" spans="2:6" x14ac:dyDescent="0.25">
      <c r="E69" t="s">
        <v>16</v>
      </c>
      <c r="F69" s="36" t="s">
        <v>102</v>
      </c>
    </row>
    <row r="70" spans="2:6" x14ac:dyDescent="0.25">
      <c r="F70" s="36" t="s">
        <v>94</v>
      </c>
    </row>
    <row r="71" spans="2:6" x14ac:dyDescent="0.25">
      <c r="F71" s="36" t="s">
        <v>95</v>
      </c>
    </row>
    <row r="72" spans="2:6" x14ac:dyDescent="0.25">
      <c r="F72" s="36" t="s">
        <v>96</v>
      </c>
    </row>
    <row r="82" spans="3:3" x14ac:dyDescent="0.25">
      <c r="C82" t="s">
        <v>16</v>
      </c>
    </row>
  </sheetData>
  <pageMargins left="0.18" right="0.28000000000000003" top="1" bottom="1" header="0.5" footer="0.5"/>
  <pageSetup scale="57" orientation="landscape" r:id="rId1"/>
  <headerFooter alignWithMargins="0">
    <oddHeader xml:space="preserve">&amp;L </oddHeader>
    <oddFooter xml:space="preserve">&amp;L &amp;C &amp;R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79c94c-56e1-47e7-bee7-1e39e82c9ae5">
      <Terms xmlns="http://schemas.microsoft.com/office/infopath/2007/PartnerControls"/>
    </lcf76f155ced4ddcb4097134ff3c332f>
    <TaxCatchAll xmlns="73fb875a-8af9-4255-b008-0995492d31cd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215BE232CA640BFA6EFE07C8C827F" ma:contentTypeVersion="13" ma:contentTypeDescription="Create a new document." ma:contentTypeScope="" ma:versionID="292b1f55e281012ddfa20a3ff1328355">
  <xsd:schema xmlns:xsd="http://www.w3.org/2001/XMLSchema" xmlns:xs="http://www.w3.org/2001/XMLSchema" xmlns:p="http://schemas.microsoft.com/office/2006/metadata/properties" xmlns:ns2="3c79c94c-56e1-47e7-bee7-1e39e82c9ae5" xmlns:ns3="7f7605c0-9ab6-447f-b9b6-347cfff7b85f" xmlns:ns4="73fb875a-8af9-4255-b008-0995492d31cd" targetNamespace="http://schemas.microsoft.com/office/2006/metadata/properties" ma:root="true" ma:fieldsID="cfebeda6b5e516a5abdbf7183ada1774" ns2:_="" ns3:_="" ns4:_="">
    <xsd:import namespace="3c79c94c-56e1-47e7-bee7-1e39e82c9ae5"/>
    <xsd:import namespace="7f7605c0-9ab6-447f-b9b6-347cfff7b85f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9c94c-56e1-47e7-bee7-1e39e82c9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605c0-9ab6-447f-b9b6-347cfff7b85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994d92a-67a8-4341-806c-f3a253d4e7c8}" ma:internalName="TaxCatchAll" ma:showField="CatchAllData" ma:web="7f7605c0-9ab6-447f-b9b6-347cfff7b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869336-64CC-4742-B359-C7864CCB7DB8}">
  <ds:schemaRefs>
    <ds:schemaRef ds:uri="http://schemas.microsoft.com/office/2006/metadata/properties"/>
    <ds:schemaRef ds:uri="http://schemas.microsoft.com/office/infopath/2007/PartnerControls"/>
    <ds:schemaRef ds:uri="3c79c94c-56e1-47e7-bee7-1e39e82c9ae5"/>
    <ds:schemaRef ds:uri="73fb875a-8af9-4255-b008-0995492d31cd"/>
  </ds:schemaRefs>
</ds:datastoreItem>
</file>

<file path=customXml/itemProps2.xml><?xml version="1.0" encoding="utf-8"?>
<ds:datastoreItem xmlns:ds="http://schemas.openxmlformats.org/officeDocument/2006/customXml" ds:itemID="{1615F57E-6E36-46E6-99C0-89039842E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79c94c-56e1-47e7-bee7-1e39e82c9ae5"/>
    <ds:schemaRef ds:uri="7f7605c0-9ab6-447f-b9b6-347cfff7b85f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E97679-D3EC-44E2-A309-2EE7ECDCF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PA-SS-004 Stg Structure Sizes </vt:lpstr>
      <vt:lpstr>'PA-SS-004 Stg Structure Sizes '!Print_Area</vt:lpstr>
    </vt:vector>
  </TitlesOfParts>
  <Company>Somerset Conservation Dist.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Manager</dc:creator>
  <cp:lastModifiedBy>Evans, Ted - NRCS, Harrisburg, PA</cp:lastModifiedBy>
  <cp:lastPrinted>2002-02-25T19:19:54Z</cp:lastPrinted>
  <dcterms:created xsi:type="dcterms:W3CDTF">2000-02-11T14:56:52Z</dcterms:created>
  <dcterms:modified xsi:type="dcterms:W3CDTF">2022-08-23T14:43:03Z</dcterms:modified>
</cp:coreProperties>
</file>